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EST_PALMAS" sheetId="4" r:id="rId1"/>
  </sheets>
  <definedNames>
    <definedName name="_xlnm._FilterDatabase" localSheetId="0" hidden="1">REP_EST_PALMAS!$A$8:$R$43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7BF180E0_B6E4_4359_B66E_3BDB4DE294CE_.wvu.FilterData" localSheetId="0" hidden="1">REP_EST_PALMAS!$C$8:$R$43</definedName>
  </definedNames>
  <calcPr calcId="145621"/>
  <customWorkbookViews>
    <customWorkbookView name="Filtro 2" guid="{734C7381-30C0-454D-A121-47A307066387}" maximized="1" windowWidth="0" windowHeight="0" activeSheetId="0"/>
    <customWorkbookView name="Filtro 1" guid="{7BF180E0-B6E4-4359-B66E-3BDB4DE294CE}" maximized="1" windowWidth="0" windowHeight="0" activeSheetId="0"/>
    <customWorkbookView name="Mauro" guid="{287E86A0-7AC7-4A1E-9CCF-3C94C997C051}" maximized="1" windowWidth="0" windowHeight="0" activeSheetId="0"/>
    <customWorkbookView name="Marta" guid="{D64C76EA-FCB3-485B-9A4C-E0CFEBFE8005}" maximized="1" windowWidth="0" windowHeight="0" activeSheetId="0"/>
  </customWorkbookViews>
</workbook>
</file>

<file path=xl/calcChain.xml><?xml version="1.0" encoding="utf-8"?>
<calcChain xmlns="http://schemas.openxmlformats.org/spreadsheetml/2006/main">
  <c r="R6" i="4" l="1"/>
  <c r="L6" i="4" l="1"/>
  <c r="M6" i="4"/>
  <c r="I6" i="4"/>
  <c r="K6" i="4"/>
  <c r="F6" i="4"/>
  <c r="G6" i="4"/>
  <c r="H6" i="4"/>
  <c r="N6" i="4"/>
  <c r="E6" i="4"/>
  <c r="J6" i="4"/>
  <c r="B12" i="4"/>
  <c r="B16" i="4"/>
  <c r="B20" i="4"/>
  <c r="B24" i="4"/>
  <c r="B28" i="4"/>
  <c r="B32" i="4"/>
  <c r="C10" i="4"/>
  <c r="D15" i="4"/>
  <c r="A21" i="4"/>
  <c r="C26" i="4"/>
  <c r="D31" i="4"/>
  <c r="C36" i="4"/>
  <c r="C40" i="4"/>
  <c r="C9" i="4"/>
  <c r="D14" i="4"/>
  <c r="A20" i="4"/>
  <c r="D30" i="4"/>
  <c r="D35" i="4"/>
  <c r="D39" i="4"/>
  <c r="D43" i="4"/>
  <c r="A19" i="4"/>
  <c r="A35" i="4"/>
  <c r="A26" i="4"/>
  <c r="C27" i="4"/>
  <c r="B38" i="4"/>
  <c r="B9" i="4"/>
  <c r="B13" i="4"/>
  <c r="B17" i="4"/>
  <c r="B21" i="4"/>
  <c r="B25" i="4"/>
  <c r="B29" i="4"/>
  <c r="B33" i="4"/>
  <c r="D11" i="4"/>
  <c r="A17" i="4"/>
  <c r="C22" i="4"/>
  <c r="D27" i="4"/>
  <c r="A33" i="4"/>
  <c r="C37" i="4"/>
  <c r="C41" i="4"/>
  <c r="D10" i="4"/>
  <c r="A16" i="4"/>
  <c r="C21" i="4"/>
  <c r="D26" i="4"/>
  <c r="A32" i="4"/>
  <c r="D36" i="4"/>
  <c r="D40" i="4"/>
  <c r="D9" i="4"/>
  <c r="A15" i="4"/>
  <c r="C20" i="4"/>
  <c r="D25" i="4"/>
  <c r="A31" i="4"/>
  <c r="A36" i="4"/>
  <c r="A40" i="4"/>
  <c r="A10" i="4"/>
  <c r="C31" i="4"/>
  <c r="C11" i="4"/>
  <c r="D32" i="4"/>
  <c r="D24" i="4"/>
  <c r="C23" i="4"/>
  <c r="B42" i="4"/>
  <c r="G8" i="4"/>
  <c r="L8" i="4"/>
  <c r="A8" i="4"/>
  <c r="M8" i="4"/>
  <c r="H8" i="4"/>
  <c r="B10" i="4"/>
  <c r="B14" i="4"/>
  <c r="B18" i="4"/>
  <c r="B22" i="4"/>
  <c r="B26" i="4"/>
  <c r="B30" i="4"/>
  <c r="B34" i="4"/>
  <c r="A13" i="4"/>
  <c r="C18" i="4"/>
  <c r="D23" i="4"/>
  <c r="A29" i="4"/>
  <c r="C34" i="4"/>
  <c r="C38" i="4"/>
  <c r="C42" i="4"/>
  <c r="A12" i="4"/>
  <c r="C17" i="4"/>
  <c r="D22" i="4"/>
  <c r="A28" i="4"/>
  <c r="C33" i="4"/>
  <c r="D37" i="4"/>
  <c r="D41" i="4"/>
  <c r="A11" i="4"/>
  <c r="C16" i="4"/>
  <c r="D21" i="4"/>
  <c r="A27" i="4"/>
  <c r="C32" i="4"/>
  <c r="A37" i="4"/>
  <c r="A41" i="4"/>
  <c r="C15" i="4"/>
  <c r="B36" i="4"/>
  <c r="D16" i="4"/>
  <c r="B37" i="4"/>
  <c r="B35" i="4"/>
  <c r="D28" i="4"/>
  <c r="C19" i="4"/>
  <c r="J8" i="4"/>
  <c r="N8" i="4"/>
  <c r="C8" i="4"/>
  <c r="D8" i="4"/>
  <c r="B11" i="4"/>
  <c r="B15" i="4"/>
  <c r="B19" i="4"/>
  <c r="B23" i="4"/>
  <c r="B27" i="4"/>
  <c r="B31" i="4"/>
  <c r="A9" i="4"/>
  <c r="C14" i="4"/>
  <c r="D19" i="4"/>
  <c r="A25" i="4"/>
  <c r="C30" i="4"/>
  <c r="C35" i="4"/>
  <c r="C39" i="4"/>
  <c r="C43" i="4"/>
  <c r="C13" i="4"/>
  <c r="D18" i="4"/>
  <c r="A24" i="4"/>
  <c r="C29" i="4"/>
  <c r="D34" i="4"/>
  <c r="D38" i="4"/>
  <c r="D42" i="4"/>
  <c r="C12" i="4"/>
  <c r="D17" i="4"/>
  <c r="A23" i="4"/>
  <c r="C28" i="4"/>
  <c r="D33" i="4"/>
  <c r="A38" i="4"/>
  <c r="A42" i="4"/>
  <c r="D20" i="4"/>
  <c r="B40" i="4"/>
  <c r="A22" i="4"/>
  <c r="B41" i="4"/>
  <c r="D12" i="4"/>
  <c r="A34" i="4"/>
  <c r="A30" i="4"/>
  <c r="F8" i="4"/>
  <c r="E8" i="4"/>
  <c r="K8" i="4"/>
  <c r="O8" i="4"/>
  <c r="C25" i="4"/>
  <c r="D13" i="4"/>
  <c r="C24" i="4"/>
  <c r="D29" i="4"/>
  <c r="A39" i="4"/>
  <c r="A43" i="4"/>
  <c r="B43" i="4"/>
  <c r="A14" i="4"/>
  <c r="A18" i="4"/>
  <c r="P8" i="4"/>
  <c r="I8" i="4"/>
  <c r="B8" i="4"/>
  <c r="B39" i="4"/>
  <c r="Q8" i="4"/>
  <c r="C7" i="4" l="1"/>
</calcChain>
</file>

<file path=xl/sharedStrings.xml><?xml version="1.0" encoding="utf-8"?>
<sst xmlns="http://schemas.openxmlformats.org/spreadsheetml/2006/main" count="130" uniqueCount="69">
  <si>
    <t xml:space="preserve"> </t>
  </si>
  <si>
    <t xml:space="preserve">1º REPASSE TESOURO ESTADUAL - PNAE TOCANTINS  -  ESCOLA EM PERÍODO PARCIAL </t>
  </si>
  <si>
    <t>SUBTOTAL:</t>
  </si>
  <si>
    <t>TOTAL GERAL=</t>
  </si>
  <si>
    <t xml:space="preserve">REGIONAL </t>
  </si>
  <si>
    <t>MUNICÍPIO</t>
  </si>
  <si>
    <t>CNPJ</t>
  </si>
  <si>
    <t>Educ. Infantil CRECHE</t>
  </si>
  <si>
    <t>Educ. Infantil PRÉ ESCOLA</t>
  </si>
  <si>
    <t>AEE</t>
  </si>
  <si>
    <r>
      <t xml:space="preserve">Ens. Fund.  
</t>
    </r>
    <r>
      <rPr>
        <sz val="8"/>
        <rFont val="Arial"/>
        <family val="2"/>
      </rPr>
      <t>(parcial)</t>
    </r>
  </si>
  <si>
    <r>
      <t xml:space="preserve">Ens. Fund. Indíg. /Quilomb 
</t>
    </r>
    <r>
      <rPr>
        <sz val="8"/>
        <rFont val="Arial"/>
        <family val="2"/>
      </rPr>
      <t>(parcial)</t>
    </r>
  </si>
  <si>
    <r>
      <t>Matrícula no MAIS EDUC</t>
    </r>
    <r>
      <rPr>
        <sz val="8"/>
        <rFont val="Arial"/>
        <family val="2"/>
      </rPr>
      <t xml:space="preserve"> 
(7h semanais)</t>
    </r>
    <r>
      <rPr>
        <sz val="10"/>
        <color rgb="FF000000"/>
        <rFont val="Arial"/>
      </rPr>
      <t xml:space="preserve"> </t>
    </r>
  </si>
  <si>
    <t xml:space="preserve">E. M. PARCIAL </t>
  </si>
  <si>
    <t>E. M. IND./QUIL 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</si>
  <si>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</si>
  <si>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</si>
  <si>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</si>
  <si>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</si>
  <si>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</si>
  <si>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</si>
  <si>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</si>
  <si>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</si>
  <si>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Núcleo de Alimentação</t>
  </si>
  <si>
    <t>001</t>
  </si>
  <si>
    <t>104</t>
  </si>
  <si>
    <t>0862</t>
  </si>
  <si>
    <t>1505</t>
  </si>
  <si>
    <t>327972</t>
  </si>
  <si>
    <t>465410</t>
  </si>
  <si>
    <t>69132</t>
  </si>
  <si>
    <t>3962</t>
  </si>
  <si>
    <t>127795</t>
  </si>
  <si>
    <t>261882</t>
  </si>
  <si>
    <t>157856</t>
  </si>
  <si>
    <t>171166</t>
  </si>
  <si>
    <t>455261</t>
  </si>
  <si>
    <t>455059</t>
  </si>
  <si>
    <t>250562</t>
  </si>
  <si>
    <t>467588</t>
  </si>
  <si>
    <t>455369</t>
  </si>
  <si>
    <t>265810</t>
  </si>
  <si>
    <t>254002</t>
  </si>
  <si>
    <t>197653</t>
  </si>
  <si>
    <t>1867</t>
  </si>
  <si>
    <t>856312</t>
  </si>
  <si>
    <t>385328</t>
  </si>
  <si>
    <t>209929</t>
  </si>
  <si>
    <t>1079972</t>
  </si>
  <si>
    <t>257028</t>
  </si>
  <si>
    <t>413666</t>
  </si>
  <si>
    <t>2525</t>
  </si>
  <si>
    <t>14898</t>
  </si>
  <si>
    <t>351687</t>
  </si>
  <si>
    <t>2781</t>
  </si>
  <si>
    <t>261904</t>
  </si>
  <si>
    <t>258105</t>
  </si>
  <si>
    <t>256404</t>
  </si>
  <si>
    <t>255734</t>
  </si>
  <si>
    <t>423475</t>
  </si>
  <si>
    <t>45110X</t>
  </si>
  <si>
    <t>1886</t>
  </si>
  <si>
    <t>519855</t>
  </si>
  <si>
    <t>530042</t>
  </si>
  <si>
    <t>161497</t>
  </si>
  <si>
    <t>162221</t>
  </si>
  <si>
    <t>1117</t>
  </si>
  <si>
    <t>313033</t>
  </si>
  <si>
    <t>147605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</si>
</sst>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0"/>
      <color rgb="FF00000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20"/>
      <color rgb="FF000000"/>
      <name val="Arial"/>
      <family val="2"/>
    </font>
    <font>
      <b/>
      <sz val="12"/>
      <color rgb="FFFFFFFF"/>
      <name val="Arial"/>
      <family val="2"/>
    </font>
    <font>
      <b/>
      <sz val="10"/>
      <color rgb="FFFFFFFF"/>
      <name val="Arial"/>
      <family val="2"/>
    </font>
    <font>
      <b/>
      <sz val="14"/>
      <color rgb="FFFFFFFF"/>
      <name val="Calibri"/>
      <family val="2"/>
    </font>
    <font>
      <b/>
      <sz val="11"/>
      <color rgb="FF000000"/>
      <name val="Calibri"/>
      <family val="2"/>
    </font>
    <font>
      <b/>
      <sz val="14"/>
      <name val="Arial"/>
      <family val="2"/>
    </font>
    <font>
      <sz val="11"/>
      <color rgb="FF000000"/>
      <name val="Inconsolata"/>
    </font>
    <font>
      <b/>
      <sz val="1"/>
      <color rgb="FF0C343D"/>
      <name val="Arial"/>
      <family val="2"/>
    </font>
    <font>
      <sz val="8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3D85C6"/>
        <bgColor rgb="FF3D85C6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999999"/>
        <bgColor rgb="FF999999"/>
      </patternFill>
    </fill>
    <fill>
      <patternFill patternType="solid">
        <fgColor rgb="FF000000"/>
        <bgColor rgb="FF000000"/>
      </patternFill>
    </fill>
    <fill>
      <patternFill patternType="solid">
        <fgColor rgb="FF6FA8DC"/>
        <bgColor rgb="FF6FA8DC"/>
      </patternFill>
    </fill>
    <fill>
      <patternFill patternType="solid">
        <fgColor rgb="FFD0E0E3"/>
        <bgColor rgb="FFD0E0E3"/>
      </patternFill>
    </fill>
    <fill>
      <patternFill patternType="solid">
        <fgColor rgb="FFC27BA0"/>
        <bgColor rgb="FFC27BA0"/>
      </patternFill>
    </fill>
    <fill>
      <patternFill patternType="solid">
        <fgColor rgb="FFF6B26B"/>
        <bgColor rgb="FFF6B26B"/>
      </patternFill>
    </fill>
    <fill>
      <patternFill patternType="solid">
        <fgColor rgb="FFE69138"/>
        <bgColor rgb="FFE69138"/>
      </patternFill>
    </fill>
    <fill>
      <patternFill patternType="solid">
        <fgColor rgb="FFD9EAD3"/>
        <bgColor rgb="FFD9EAD3"/>
      </patternFill>
    </fill>
    <fill>
      <patternFill patternType="solid">
        <fgColor rgb="FFF9CB9C"/>
        <bgColor rgb="FFF9CB9C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  <fill>
      <patternFill patternType="solid">
        <fgColor rgb="FFEDE9CF"/>
        <bgColor rgb="FFEDE9CF"/>
      </patternFill>
    </fill>
    <fill>
      <patternFill patternType="solid">
        <fgColor rgb="FFF3F3F3"/>
        <bgColor rgb="FFF3F3F3"/>
      </patternFill>
    </fill>
    <fill>
      <patternFill patternType="solid">
        <fgColor theme="2"/>
        <bgColor rgb="FFEDE9CF"/>
      </patternFill>
    </fill>
    <fill>
      <patternFill patternType="solid">
        <fgColor theme="2"/>
        <bgColor rgb="FFB6D7A8"/>
      </patternFill>
    </fill>
  </fills>
  <borders count="20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/>
      <bottom style="medium">
        <color rgb="FF0B5394"/>
      </bottom>
      <diagonal/>
    </border>
    <border>
      <left style="thin">
        <color rgb="FF3C78D8"/>
      </left>
      <right style="thin">
        <color rgb="FF3C78D8"/>
      </right>
      <top style="medium">
        <color rgb="FF0B5394"/>
      </top>
      <bottom style="medium">
        <color rgb="FF0B5394"/>
      </bottom>
      <diagonal/>
    </border>
    <border>
      <left style="thin">
        <color rgb="FF3D85C6"/>
      </left>
      <right style="thin">
        <color rgb="FF3D85C6"/>
      </right>
      <top style="medium">
        <color rgb="FF0B5394"/>
      </top>
      <bottom style="medium">
        <color rgb="FF0B5394"/>
      </bottom>
      <diagonal/>
    </border>
    <border>
      <left style="thin">
        <color rgb="FF3C78D8"/>
      </left>
      <right/>
      <top style="medium">
        <color rgb="FF0B5394"/>
      </top>
      <bottom style="medium">
        <color rgb="FF0B5394"/>
      </bottom>
      <diagonal/>
    </border>
    <border>
      <left/>
      <right/>
      <top style="medium">
        <color rgb="FF0B5394"/>
      </top>
      <bottom style="medium">
        <color rgb="FF0B5394"/>
      </bottom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thin">
        <color rgb="FFB45F06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/>
      <top/>
      <bottom style="medium">
        <color rgb="FF0B5394"/>
      </bottom>
      <diagonal/>
    </border>
    <border>
      <left/>
      <right/>
      <top/>
      <bottom style="medium">
        <color rgb="FF0B5394"/>
      </bottom>
      <diagonal/>
    </border>
    <border>
      <left/>
      <right/>
      <top/>
      <bottom style="medium">
        <color rgb="FF3C78D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 applyFont="1" applyAlignment="1"/>
    <xf numFmtId="0" fontId="4" fillId="4" borderId="0" xfId="0" applyFont="1" applyFill="1" applyAlignment="1">
      <alignment horizont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10" fillId="9" borderId="3" xfId="0" applyFont="1" applyFill="1" applyBorder="1" applyAlignment="1">
      <alignment horizontal="center" vertical="center" wrapText="1"/>
    </xf>
    <xf numFmtId="0" fontId="10" fillId="9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wrapText="1"/>
    </xf>
    <xf numFmtId="0" fontId="2" fillId="11" borderId="4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12" borderId="2" xfId="0" applyFont="1" applyFill="1" applyBorder="1" applyAlignment="1">
      <alignment horizontal="center" wrapText="1"/>
    </xf>
    <xf numFmtId="0" fontId="2" fillId="8" borderId="2" xfId="0" applyFont="1" applyFill="1" applyBorder="1" applyAlignment="1">
      <alignment horizontal="center" wrapText="1"/>
    </xf>
    <xf numFmtId="0" fontId="2" fillId="13" borderId="2" xfId="0" applyFont="1" applyFill="1" applyBorder="1" applyAlignment="1">
      <alignment horizontal="center" wrapText="1"/>
    </xf>
    <xf numFmtId="0" fontId="2" fillId="10" borderId="0" xfId="0" applyFont="1" applyFill="1" applyAlignment="1">
      <alignment horizontal="center" wrapText="1"/>
    </xf>
    <xf numFmtId="0" fontId="2" fillId="14" borderId="2" xfId="0" applyFont="1" applyFill="1" applyBorder="1" applyAlignment="1">
      <alignment horizontal="center" wrapText="1"/>
    </xf>
    <xf numFmtId="49" fontId="9" fillId="15" borderId="4" xfId="0" applyNumberFormat="1" applyFont="1" applyFill="1" applyBorder="1" applyAlignment="1">
      <alignment horizontal="center" textRotation="90"/>
    </xf>
    <xf numFmtId="49" fontId="9" fillId="15" borderId="6" xfId="0" applyNumberFormat="1" applyFont="1" applyFill="1" applyBorder="1" applyAlignment="1">
      <alignment horizontal="center" textRotation="90" wrapText="1"/>
    </xf>
    <xf numFmtId="0" fontId="7" fillId="3" borderId="7" xfId="0" applyFont="1" applyFill="1" applyBorder="1" applyAlignment="1">
      <alignment horizontal="center" wrapText="1"/>
    </xf>
    <xf numFmtId="0" fontId="11" fillId="16" borderId="0" xfId="0" applyFont="1" applyFill="1"/>
    <xf numFmtId="0" fontId="12" fillId="16" borderId="0" xfId="0" applyFont="1" applyFill="1" applyAlignment="1">
      <alignment horizontal="center" wrapText="1"/>
    </xf>
    <xf numFmtId="0" fontId="12" fillId="16" borderId="8" xfId="0" applyFont="1" applyFill="1" applyBorder="1" applyAlignment="1">
      <alignment horizontal="center" wrapText="1"/>
    </xf>
    <xf numFmtId="0" fontId="12" fillId="16" borderId="9" xfId="0" applyFont="1" applyFill="1" applyBorder="1" applyAlignment="1">
      <alignment horizontal="center" wrapText="1"/>
    </xf>
    <xf numFmtId="49" fontId="12" fillId="16" borderId="9" xfId="0" applyNumberFormat="1" applyFont="1" applyFill="1" applyBorder="1" applyAlignment="1">
      <alignment horizontal="center" wrapText="1"/>
    </xf>
    <xf numFmtId="0" fontId="12" fillId="16" borderId="10" xfId="0" applyFont="1" applyFill="1" applyBorder="1" applyAlignment="1">
      <alignment horizontal="center" wrapText="1"/>
    </xf>
    <xf numFmtId="4" fontId="1" fillId="17" borderId="11" xfId="0" applyNumberFormat="1" applyFont="1" applyFill="1" applyBorder="1"/>
    <xf numFmtId="0" fontId="0" fillId="0" borderId="0" xfId="0" applyFont="1" applyAlignment="1"/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6" fillId="6" borderId="12" xfId="0" applyFont="1" applyFill="1" applyBorder="1" applyAlignment="1">
      <alignment horizontal="center" wrapText="1"/>
    </xf>
    <xf numFmtId="4" fontId="7" fillId="6" borderId="13" xfId="0" applyNumberFormat="1" applyFont="1" applyFill="1" applyBorder="1" applyAlignment="1">
      <alignment horizontal="center" wrapText="1"/>
    </xf>
    <xf numFmtId="49" fontId="8" fillId="7" borderId="14" xfId="0" applyNumberFormat="1" applyFont="1" applyFill="1" applyBorder="1" applyAlignment="1">
      <alignment horizontal="left"/>
    </xf>
    <xf numFmtId="4" fontId="6" fillId="7" borderId="16" xfId="0" applyNumberFormat="1" applyFont="1" applyFill="1" applyBorder="1"/>
    <xf numFmtId="0" fontId="1" fillId="4" borderId="11" xfId="0" applyFont="1" applyFill="1" applyBorder="1"/>
    <xf numFmtId="49" fontId="1" fillId="4" borderId="11" xfId="0" applyNumberFormat="1" applyFont="1" applyFill="1" applyBorder="1" applyAlignment="1">
      <alignment horizontal="center"/>
    </xf>
    <xf numFmtId="4" fontId="1" fillId="4" borderId="11" xfId="0" applyNumberFormat="1" applyFont="1" applyFill="1" applyBorder="1"/>
    <xf numFmtId="49" fontId="1" fillId="4" borderId="11" xfId="0" applyNumberFormat="1" applyFont="1" applyFill="1" applyBorder="1"/>
    <xf numFmtId="0" fontId="1" fillId="17" borderId="11" xfId="0" applyFont="1" applyFill="1" applyBorder="1"/>
    <xf numFmtId="49" fontId="1" fillId="17" borderId="11" xfId="0" applyNumberFormat="1" applyFont="1" applyFill="1" applyBorder="1" applyAlignment="1">
      <alignment horizontal="center"/>
    </xf>
    <xf numFmtId="49" fontId="1" fillId="17" borderId="11" xfId="0" applyNumberFormat="1" applyFont="1" applyFill="1" applyBorder="1"/>
    <xf numFmtId="0" fontId="1" fillId="18" borderId="11" xfId="0" applyFont="1" applyFill="1" applyBorder="1"/>
    <xf numFmtId="0" fontId="1" fillId="19" borderId="11" xfId="0" applyFont="1" applyFill="1" applyBorder="1"/>
    <xf numFmtId="0" fontId="1" fillId="20" borderId="11" xfId="0" applyFont="1" applyFill="1" applyBorder="1"/>
    <xf numFmtId="49" fontId="1" fillId="20" borderId="11" xfId="0" applyNumberFormat="1" applyFont="1" applyFill="1" applyBorder="1" applyAlignment="1">
      <alignment horizontal="center"/>
    </xf>
    <xf numFmtId="4" fontId="1" fillId="20" borderId="11" xfId="0" applyNumberFormat="1" applyFont="1" applyFill="1" applyBorder="1"/>
    <xf numFmtId="49" fontId="1" fillId="20" borderId="11" xfId="0" applyNumberFormat="1" applyFont="1" applyFill="1" applyBorder="1"/>
    <xf numFmtId="0" fontId="0" fillId="0" borderId="0" xfId="0" applyFont="1" applyBorder="1" applyAlignment="1">
      <alignment vertical="center"/>
    </xf>
    <xf numFmtId="49" fontId="8" fillId="7" borderId="15" xfId="0" applyNumberFormat="1" applyFont="1" applyFill="1" applyBorder="1" applyAlignment="1">
      <alignment horizontal="left"/>
    </xf>
    <xf numFmtId="0" fontId="3" fillId="0" borderId="15" xfId="0" applyFont="1" applyBorder="1"/>
    <xf numFmtId="0" fontId="5" fillId="5" borderId="17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</cellXfs>
  <cellStyles count="1">
    <cellStyle name="Normal" xfId="0" builtinId="0"/>
  </cellStyles>
  <dxfs count="13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2"/>
      <tableStyleElement type="secondRowStripe" dxfId="11"/>
    </tableStyle>
    <tableStyle name="MAIS_EDUC-style" pivot="0" count="2">
      <tableStyleElement type="firstRowStripe" dxfId="10"/>
      <tableStyleElement type="secondRowStripe" dxfId="9"/>
    </tableStyle>
    <tableStyle name="BK_BDADOS-style" pivot="0" count="2">
      <tableStyleElement type="firstRowStripe" dxfId="8"/>
      <tableStyleElement type="secondRowStripe" dxfId="7"/>
    </tableStyle>
    <tableStyle name="BK_BDADOS-style 2" pivot="0" count="2">
      <tableStyleElement type="firstRowStripe" dxfId="6"/>
      <tableStyleElement type="secondRowStripe" dxfId="5"/>
    </tableStyle>
    <tableStyle name="REP_PNAE-style" pivot="0" count="2">
      <tableStyleElement type="firstRowStripe" dxfId="4"/>
      <tableStyleElement type="secondRowStripe" dxfId="3"/>
    </tableStyle>
    <tableStyle name="REP_MOD-style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0</xdr:row>
      <xdr:rowOff>276225</xdr:rowOff>
    </xdr:from>
    <xdr:ext cx="2847975" cy="695325"/>
    <xdr:pic>
      <xdr:nvPicPr>
        <xdr:cNvPr id="2" name="image2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391775" y="276225"/>
          <a:ext cx="2847975" cy="6953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2219324</xdr:colOff>
      <xdr:row>0</xdr:row>
      <xdr:rowOff>104775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019674" y="104775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43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6" customWidth="1"/>
    <col min="2" max="2" width="26" customWidth="1"/>
    <col min="3" max="3" width="64.42578125" customWidth="1"/>
    <col min="4" max="4" width="17.140625" customWidth="1"/>
    <col min="5" max="5" width="9.85546875" customWidth="1"/>
    <col min="6" max="6" width="10" customWidth="1"/>
    <col min="7" max="7" width="12.42578125" customWidth="1"/>
    <col min="8" max="8" width="11" customWidth="1"/>
    <col min="9" max="9" width="10.85546875" customWidth="1"/>
    <col min="10" max="10" width="11.140625" customWidth="1"/>
    <col min="11" max="13" width="12.7109375" customWidth="1"/>
    <col min="14" max="14" width="11.7109375" customWidth="1"/>
    <col min="15" max="15" width="4.85546875" customWidth="1"/>
    <col min="16" max="16" width="6.42578125" customWidth="1"/>
    <col min="17" max="17" width="10" customWidth="1"/>
    <col min="18" max="18" width="14.42578125" customWidth="1"/>
  </cols>
  <sheetData>
    <row r="1" spans="1:18" s="24" customFormat="1" ht="25.5" customHeight="1">
      <c r="A1" s="45" t="s">
        <v>21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</row>
    <row r="2" spans="1:18" s="24" customFormat="1" ht="23.25" customHeight="1">
      <c r="A2" s="45" t="s">
        <v>22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</row>
    <row r="3" spans="1:18" ht="27" customHeight="1">
      <c r="A3" s="45" t="s">
        <v>23</v>
      </c>
      <c r="B3" s="27"/>
      <c r="C3" s="27" t="s">
        <v>0</v>
      </c>
      <c r="D3" s="26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ht="38.25" customHeight="1" thickBot="1">
      <c r="A4" s="27"/>
      <c r="B4" s="27"/>
      <c r="C4" s="27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</row>
    <row r="5" spans="1:18" s="24" customFormat="1" ht="38.25" customHeight="1" thickBot="1">
      <c r="A5" s="48" t="s">
        <v>1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50"/>
    </row>
    <row r="6" spans="1:18" ht="24" customHeight="1" thickBot="1">
      <c r="A6" s="1"/>
      <c r="B6" s="1"/>
      <c r="C6" s="1"/>
      <c r="D6" s="28" t="s">
        <v>2</v>
      </c>
      <c r="E6" s="29">
        <f t="shared" ref="E6:N6" si="0">SUBTOTAL(9,E9:E43)</f>
        <v>228.8</v>
      </c>
      <c r="F6" s="29">
        <f t="shared" si="0"/>
        <v>445.2</v>
      </c>
      <c r="G6" s="29">
        <f t="shared" si="0"/>
        <v>2872.8</v>
      </c>
      <c r="H6" s="29">
        <f t="shared" si="0"/>
        <v>61370.399999999994</v>
      </c>
      <c r="I6" s="29">
        <f t="shared" si="0"/>
        <v>722.4</v>
      </c>
      <c r="J6" s="29">
        <f t="shared" si="0"/>
        <v>25794</v>
      </c>
      <c r="K6" s="29">
        <f t="shared" si="0"/>
        <v>87595.199999999997</v>
      </c>
      <c r="L6" s="29">
        <f t="shared" si="0"/>
        <v>0</v>
      </c>
      <c r="M6" s="29">
        <f t="shared" si="0"/>
        <v>0</v>
      </c>
      <c r="N6" s="29">
        <f t="shared" si="0"/>
        <v>26611.200000000004</v>
      </c>
      <c r="O6" s="30"/>
      <c r="P6" s="46" t="s">
        <v>3</v>
      </c>
      <c r="Q6" s="47"/>
      <c r="R6" s="31">
        <f>SUBTOTAL(9,R9:R43)</f>
        <v>205639.99999999994</v>
      </c>
    </row>
    <row r="7" spans="1:18" ht="56.25" customHeight="1" thickBot="1">
      <c r="A7" s="2" t="s">
        <v>4</v>
      </c>
      <c r="B7" s="3" t="s">
        <v>5</v>
      </c>
      <c r="C7" s="4" t="str">
        <f ca="1">"UNIDADES EXECUTORAS = " &amp; COUNTA(C9:C43)</f>
        <v>UNIDADES EXECUTORAS = 35</v>
      </c>
      <c r="D7" s="5" t="s">
        <v>6</v>
      </c>
      <c r="E7" s="6" t="s">
        <v>7</v>
      </c>
      <c r="F7" s="6" t="s">
        <v>8</v>
      </c>
      <c r="G7" s="7" t="s">
        <v>9</v>
      </c>
      <c r="H7" s="8" t="s">
        <v>10</v>
      </c>
      <c r="I7" s="8" t="s">
        <v>11</v>
      </c>
      <c r="J7" s="9" t="s">
        <v>12</v>
      </c>
      <c r="K7" s="10" t="s">
        <v>13</v>
      </c>
      <c r="L7" s="11" t="s">
        <v>14</v>
      </c>
      <c r="M7" s="12" t="s">
        <v>15</v>
      </c>
      <c r="N7" s="13" t="s">
        <v>16</v>
      </c>
      <c r="O7" s="14" t="s">
        <v>17</v>
      </c>
      <c r="P7" s="14" t="s">
        <v>18</v>
      </c>
      <c r="Q7" s="15" t="s">
        <v>19</v>
      </c>
      <c r="R7" s="16" t="s">
        <v>20</v>
      </c>
    </row>
    <row r="8" spans="1:18" ht="12" customHeight="1">
      <c r="A8" s="17" t="str">
        <f ca="1">IFERROR(__xludf.DUMMYFUNCTION("QUERY('REP2'!A6:AP940,""select A,B,C,D,Z,AA,AG,AB,AD,K,AH,AK,Y,AM,V,W,X WHERE NOT Z=0 OR NOT AA=0 OR NOT AG=0 OR NOT AB=0 OR NOT AD=0 OR NOT K=0 OR NOT AH=0 OR NOT AK=0 OR NOT Y=0 OR NOT AM=0"")"),"REGIONAL ")</f>
        <v xml:space="preserve">REGIONAL </v>
      </c>
      <c r="B8" s="18" t="str">
        <f ca="1">IFERROR(__xludf.DUMMYFUNCTION("""COMPUTED_VALUE"""),"MUNICÍPIO")</f>
        <v>MUNICÍPIO</v>
      </c>
      <c r="C8" s="19" t="str">
        <f ca="1">IFERROR(__xludf.DUMMYFUNCTION("""COMPUTED_VALUE"""),"UNIDADE EXECUTORA")</f>
        <v>UNIDADE EXECUTORA</v>
      </c>
      <c r="D8" s="20" t="str">
        <f ca="1">IFERROR(__xludf.DUMMYFUNCTION("""COMPUTED_VALUE"""),"CNPJ")</f>
        <v>CNPJ</v>
      </c>
      <c r="E8" s="20" t="str">
        <f ca="1">IFERROR(__xludf.DUMMYFUNCTION("""COMPUTED_VALUE"""),"ED. INF. CRECHE")</f>
        <v>ED. INF. CRECHE</v>
      </c>
      <c r="F8" s="20" t="str">
        <f ca="1">IFERROR(__xludf.DUMMYFUNCTION("""COMPUTED_VALUE"""),"ED. INF. PRÉ ESCOLA")</f>
        <v>ED. INF. PRÉ ESCOLA</v>
      </c>
      <c r="G8" s="20" t="str">
        <f ca="1">IFERROR(__xludf.DUMMYFUNCTION("""COMPUTED_VALUE"""),"AEE")</f>
        <v>AEE</v>
      </c>
      <c r="H8" s="20" t="str">
        <f ca="1">IFERROR(__xludf.DUMMYFUNCTION("""COMPUTED_VALUE"""),"E. F.  PARCIAL")</f>
        <v>E. F.  PARCIAL</v>
      </c>
      <c r="I8" s="20" t="str">
        <f ca="1">IFERROR(__xludf.DUMMYFUNCTION("""COMPUTED_VALUE"""),"E. F. IND. /QUIL  PARC")</f>
        <v>E. F. IND. /QUIL  PARC</v>
      </c>
      <c r="J8" s="20" t="str">
        <f ca="1">IFERROR(__xludf.DUMMYFUNCTION("""COMPUTED_VALUE"""),"product(Matrícula no MAIS EDUC 
ESTADO
(7h semanais) 18())")</f>
        <v>product(Matrícula no MAIS EDUC 
ESTADO
(7h semanais) 18())</v>
      </c>
      <c r="K8" s="20" t="str">
        <f ca="1">IFERROR(__xludf.DUMMYFUNCTION("""COMPUTED_VALUE"""),"E. M. PARCIAL ")</f>
        <v xml:space="preserve">E. M. PARCIAL </v>
      </c>
      <c r="L8" s="20" t="str">
        <f ca="1">IFERROR(__xludf.DUMMYFUNCTION("""COMPUTED_VALUE"""),"E. M. IND./QUIL  PARC")</f>
        <v>E. M. IND./QUIL  PARC</v>
      </c>
      <c r="M8" s="20" t="str">
        <f ca="1">IFERROR(__xludf.DUMMYFUNCTION("""COMPUTED_VALUE"""),"product(MÉDIO INTEGRADO8.4())")</f>
        <v>product(MÉDIO INTEGRADO8.4())</v>
      </c>
      <c r="N8" s="20" t="str">
        <f ca="1">IFERROR(__xludf.DUMMYFUNCTION("""COMPUTED_VALUE"""),"EJA 1º E 2º SEGM")</f>
        <v>EJA 1º E 2º SEGM</v>
      </c>
      <c r="O8" s="21" t="str">
        <f ca="1">IFERROR(__xludf.DUMMYFUNCTION("""COMPUTED_VALUE"""),"BANCO")</f>
        <v>BANCO</v>
      </c>
      <c r="P8" s="21" t="str">
        <f ca="1">IFERROR(__xludf.DUMMYFUNCTION("""COMPUTED_VALUE"""),"AGENCIA")</f>
        <v>AGENCIA</v>
      </c>
      <c r="Q8" s="21" t="str">
        <f ca="1">IFERROR(__xludf.DUMMYFUNCTION("""COMPUTED_VALUE"""),"C. CORRENTE")</f>
        <v>C. CORRENTE</v>
      </c>
      <c r="R8" s="22" t="s">
        <v>20</v>
      </c>
    </row>
    <row r="9" spans="1:18" ht="12.75">
      <c r="A9" s="36" t="str">
        <f ca="1">IFERROR(__xludf.DUMMYFUNCTION("""COMPUTED_VALUE"""),"Palmas")</f>
        <v>Palmas</v>
      </c>
      <c r="B9" s="36" t="str">
        <f ca="1">IFERROR(__xludf.DUMMYFUNCTION("""COMPUTED_VALUE"""),"Aparecida do Rio Negro")</f>
        <v>Aparecida do Rio Negro</v>
      </c>
      <c r="C9" s="36" t="str">
        <f ca="1">IFERROR(__xludf.DUMMYFUNCTION("""COMPUTED_VALUE"""),"ASS. DE AP. DO COL. EST. MEIRA MATOS")</f>
        <v>ASS. DE AP. DO COL. EST. MEIRA MATOS</v>
      </c>
      <c r="D9" s="37" t="str">
        <f ca="1">IFERROR(__xludf.DUMMYFUNCTION("""COMPUTED_VALUE"""),"01186452000172")</f>
        <v>01186452000172</v>
      </c>
      <c r="E9" s="23">
        <v>0</v>
      </c>
      <c r="F9" s="23">
        <v>0</v>
      </c>
      <c r="G9" s="23">
        <v>126</v>
      </c>
      <c r="H9" s="23">
        <v>1050</v>
      </c>
      <c r="I9" s="23">
        <v>0</v>
      </c>
      <c r="J9" s="23">
        <v>0</v>
      </c>
      <c r="K9" s="23">
        <v>2007.6</v>
      </c>
      <c r="L9" s="23">
        <v>0</v>
      </c>
      <c r="M9" s="23">
        <v>0</v>
      </c>
      <c r="N9" s="23">
        <v>428.4</v>
      </c>
      <c r="O9" s="38" t="s">
        <v>24</v>
      </c>
      <c r="P9" s="38" t="s">
        <v>27</v>
      </c>
      <c r="Q9" s="38" t="s">
        <v>28</v>
      </c>
      <c r="R9" s="23">
        <v>3612</v>
      </c>
    </row>
    <row r="10" spans="1:18" ht="12.75">
      <c r="A10" s="39" t="str">
        <f ca="1">IFERROR(__xludf.DUMMYFUNCTION("""COMPUTED_VALUE"""),"Palmas")</f>
        <v>Palmas</v>
      </c>
      <c r="B10" s="39" t="str">
        <f ca="1">IFERROR(__xludf.DUMMYFUNCTION("""COMPUTED_VALUE"""),"Lagoa do Tocantins")</f>
        <v>Lagoa do Tocantins</v>
      </c>
      <c r="C10" s="32" t="str">
        <f ca="1">IFERROR(__xludf.DUMMYFUNCTION("""COMPUTED_VALUE"""),"ASS. DE AP. DA ESC. EST. SALMON DO A.BRITO")</f>
        <v>ASS. DE AP. DA ESC. EST. SALMON DO A.BRITO</v>
      </c>
      <c r="D10" s="33" t="str">
        <f ca="1">IFERROR(__xludf.DUMMYFUNCTION("""COMPUTED_VALUE"""),"01440941000109")</f>
        <v>01440941000109</v>
      </c>
      <c r="E10" s="34">
        <v>0</v>
      </c>
      <c r="F10" s="34">
        <v>0</v>
      </c>
      <c r="G10" s="34">
        <v>0</v>
      </c>
      <c r="H10" s="34">
        <v>2402.4</v>
      </c>
      <c r="I10" s="34">
        <v>0</v>
      </c>
      <c r="J10" s="34">
        <v>0</v>
      </c>
      <c r="K10" s="34">
        <v>1654.8</v>
      </c>
      <c r="L10" s="34">
        <v>0</v>
      </c>
      <c r="M10" s="34">
        <v>0</v>
      </c>
      <c r="N10" s="34">
        <v>0</v>
      </c>
      <c r="O10" s="35" t="s">
        <v>24</v>
      </c>
      <c r="P10" s="35" t="s">
        <v>27</v>
      </c>
      <c r="Q10" s="35" t="s">
        <v>29</v>
      </c>
      <c r="R10" s="34">
        <v>4057.2</v>
      </c>
    </row>
    <row r="11" spans="1:18" ht="12.75">
      <c r="A11" s="36" t="str">
        <f ca="1">IFERROR(__xludf.DUMMYFUNCTION("""COMPUTED_VALUE"""),"Palmas")</f>
        <v>Palmas</v>
      </c>
      <c r="B11" s="36" t="str">
        <f ca="1">IFERROR(__xludf.DUMMYFUNCTION("""COMPUTED_VALUE"""),"Lajeado")</f>
        <v>Lajeado</v>
      </c>
      <c r="C11" s="36" t="str">
        <f ca="1">IFERROR(__xludf.DUMMYFUNCTION("""COMPUTED_VALUE"""),"A.A. COM. E. E.N.SRA.DA PROVIDENCIA")</f>
        <v>A.A. COM. E. E.N.SRA.DA PROVIDENCIA</v>
      </c>
      <c r="D11" s="37" t="str">
        <f ca="1">IFERROR(__xludf.DUMMYFUNCTION("""COMPUTED_VALUE"""),"01138324000153")</f>
        <v>01138324000153</v>
      </c>
      <c r="E11" s="23">
        <v>0</v>
      </c>
      <c r="F11" s="23">
        <v>0</v>
      </c>
      <c r="G11" s="23">
        <v>151.19999999999999</v>
      </c>
      <c r="H11" s="23">
        <v>814.8</v>
      </c>
      <c r="I11" s="23">
        <v>0</v>
      </c>
      <c r="J11" s="23">
        <v>0</v>
      </c>
      <c r="K11" s="23">
        <v>1117.2</v>
      </c>
      <c r="L11" s="23">
        <v>0</v>
      </c>
      <c r="M11" s="23">
        <v>0</v>
      </c>
      <c r="N11" s="23">
        <v>596.4</v>
      </c>
      <c r="O11" s="38" t="s">
        <v>24</v>
      </c>
      <c r="P11" s="38" t="s">
        <v>26</v>
      </c>
      <c r="Q11" s="38" t="s">
        <v>30</v>
      </c>
      <c r="R11" s="23">
        <v>2679.6</v>
      </c>
    </row>
    <row r="12" spans="1:18" ht="12.75">
      <c r="A12" s="39" t="str">
        <f ca="1">IFERROR(__xludf.DUMMYFUNCTION("""COMPUTED_VALUE"""),"Palmas")</f>
        <v>Palmas</v>
      </c>
      <c r="B12" s="39" t="str">
        <f ca="1">IFERROR(__xludf.DUMMYFUNCTION("""COMPUTED_VALUE"""),"Mateiros")</f>
        <v>Mateiros</v>
      </c>
      <c r="C12" s="32" t="str">
        <f ca="1">IFERROR(__xludf.DUMMYFUNCTION("""COMPUTED_VALUE"""),"ASS. A. ESC. EST.ESTEFANIO TELES DAS CHAGAS")</f>
        <v>ASS. A. ESC. EST.ESTEFANIO TELES DAS CHAGAS</v>
      </c>
      <c r="D12" s="33" t="str">
        <f ca="1">IFERROR(__xludf.DUMMYFUNCTION("""COMPUTED_VALUE"""),"01206219000104")</f>
        <v>01206219000104</v>
      </c>
      <c r="E12" s="34">
        <v>0</v>
      </c>
      <c r="F12" s="34">
        <v>0</v>
      </c>
      <c r="G12" s="34">
        <v>0</v>
      </c>
      <c r="H12" s="34">
        <v>1243.2</v>
      </c>
      <c r="I12" s="34">
        <v>0</v>
      </c>
      <c r="J12" s="34">
        <v>0</v>
      </c>
      <c r="K12" s="34">
        <v>882</v>
      </c>
      <c r="L12" s="34">
        <v>0</v>
      </c>
      <c r="M12" s="34">
        <v>0</v>
      </c>
      <c r="N12" s="34">
        <v>109.2</v>
      </c>
      <c r="O12" s="35" t="s">
        <v>24</v>
      </c>
      <c r="P12" s="35" t="s">
        <v>31</v>
      </c>
      <c r="Q12" s="35" t="s">
        <v>32</v>
      </c>
      <c r="R12" s="34">
        <v>2234.3999999999996</v>
      </c>
    </row>
    <row r="13" spans="1:18" ht="12.75">
      <c r="A13" s="36" t="str">
        <f ca="1">IFERROR(__xludf.DUMMYFUNCTION("""COMPUTED_VALUE"""),"Palmas")</f>
        <v>Palmas</v>
      </c>
      <c r="B13" s="36" t="str">
        <f ca="1">IFERROR(__xludf.DUMMYFUNCTION("""COMPUTED_VALUE"""),"Mateiros")</f>
        <v>Mateiros</v>
      </c>
      <c r="C13" s="36" t="str">
        <f ca="1">IFERROR(__xludf.DUMMYFUNCTION("""COMPUTED_VALUE"""),"ASSOC. DE APOIO A ESC. EST. SILVERIO RIBEIRO MATOS")</f>
        <v>ASSOC. DE APOIO A ESC. EST. SILVERIO RIBEIRO MATOS</v>
      </c>
      <c r="D13" s="37" t="str">
        <f ca="1">IFERROR(__xludf.DUMMYFUNCTION("""COMPUTED_VALUE"""),"13439520000147")</f>
        <v>13439520000147</v>
      </c>
      <c r="E13" s="23">
        <v>0</v>
      </c>
      <c r="F13" s="23">
        <v>0</v>
      </c>
      <c r="G13" s="23">
        <v>0</v>
      </c>
      <c r="H13" s="23">
        <v>0</v>
      </c>
      <c r="I13" s="23">
        <v>722.4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38" t="s">
        <v>24</v>
      </c>
      <c r="P13" s="38" t="s">
        <v>31</v>
      </c>
      <c r="Q13" s="38" t="s">
        <v>33</v>
      </c>
      <c r="R13" s="23">
        <v>722.4</v>
      </c>
    </row>
    <row r="14" spans="1:18" ht="12.75">
      <c r="A14" s="39" t="str">
        <f ca="1">IFERROR(__xludf.DUMMYFUNCTION("""COMPUTED_VALUE"""),"Palmas")</f>
        <v>Palmas</v>
      </c>
      <c r="B14" s="39" t="str">
        <f ca="1">IFERROR(__xludf.DUMMYFUNCTION("""COMPUTED_VALUE"""),"Novo Acordo")</f>
        <v>Novo Acordo</v>
      </c>
      <c r="C14" s="32" t="str">
        <f ca="1">IFERROR(__xludf.DUMMYFUNCTION("""COMPUTED_VALUE"""),"ASS. A. AO COL. EST. D. PEDRO I/N.ACORDO")</f>
        <v>ASS. A. AO COL. EST. D. PEDRO I/N.ACORDO</v>
      </c>
      <c r="D14" s="33" t="str">
        <f ca="1">IFERROR(__xludf.DUMMYFUNCTION("""COMPUTED_VALUE"""),"01133690000110")</f>
        <v>01133690000110</v>
      </c>
      <c r="E14" s="34">
        <v>0</v>
      </c>
      <c r="F14" s="34">
        <v>0</v>
      </c>
      <c r="G14" s="34">
        <v>327.60000000000002</v>
      </c>
      <c r="H14" s="34">
        <v>2133.6</v>
      </c>
      <c r="I14" s="34">
        <v>0</v>
      </c>
      <c r="J14" s="34">
        <v>0</v>
      </c>
      <c r="K14" s="34">
        <v>1654.8</v>
      </c>
      <c r="L14" s="34">
        <v>0</v>
      </c>
      <c r="M14" s="34">
        <v>0</v>
      </c>
      <c r="N14" s="34">
        <v>0</v>
      </c>
      <c r="O14" s="35" t="s">
        <v>24</v>
      </c>
      <c r="P14" s="35" t="s">
        <v>27</v>
      </c>
      <c r="Q14" s="35" t="s">
        <v>34</v>
      </c>
      <c r="R14" s="34">
        <v>4116</v>
      </c>
    </row>
    <row r="15" spans="1:18" ht="12.75">
      <c r="A15" s="36" t="str">
        <f ca="1">IFERROR(__xludf.DUMMYFUNCTION("""COMPUTED_VALUE"""),"Palmas")</f>
        <v>Palmas</v>
      </c>
      <c r="B15" s="36" t="str">
        <f ca="1">IFERROR(__xludf.DUMMYFUNCTION("""COMPUTED_VALUE"""),"Novo Acordo")</f>
        <v>Novo Acordo</v>
      </c>
      <c r="C15" s="36" t="str">
        <f ca="1">IFERROR(__xludf.DUMMYFUNCTION("""COMPUTED_VALUE"""),"A.A. DA ESC. EST.PEDRO MACEDO / N.ACORDO")</f>
        <v>A.A. DA ESC. EST.PEDRO MACEDO / N.ACORDO</v>
      </c>
      <c r="D15" s="37" t="str">
        <f ca="1">IFERROR(__xludf.DUMMYFUNCTION("""COMPUTED_VALUE"""),"01136004000164")</f>
        <v>01136004000164</v>
      </c>
      <c r="E15" s="23">
        <v>0</v>
      </c>
      <c r="F15" s="23">
        <v>0</v>
      </c>
      <c r="G15" s="23">
        <v>226.8</v>
      </c>
      <c r="H15" s="23">
        <v>840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38" t="s">
        <v>24</v>
      </c>
      <c r="P15" s="38" t="s">
        <v>27</v>
      </c>
      <c r="Q15" s="38" t="s">
        <v>35</v>
      </c>
      <c r="R15" s="23">
        <v>1066.8</v>
      </c>
    </row>
    <row r="16" spans="1:18" ht="12.75">
      <c r="A16" s="39" t="str">
        <f ca="1">IFERROR(__xludf.DUMMYFUNCTION("""COMPUTED_VALUE"""),"Palmas")</f>
        <v>Palmas</v>
      </c>
      <c r="B16" s="39" t="str">
        <f ca="1">IFERROR(__xludf.DUMMYFUNCTION("""COMPUTED_VALUE"""),"Palmas")</f>
        <v>Palmas</v>
      </c>
      <c r="C16" s="32" t="str">
        <f ca="1">IFERROR(__xludf.DUMMYFUNCTION("""COMPUTED_VALUE"""),"A. DE CONSELHO ESCOLAR DO CEM 305 NORTE")</f>
        <v>A. DE CONSELHO ESCOLAR DO CEM 305 NORTE</v>
      </c>
      <c r="D16" s="33" t="str">
        <f ca="1">IFERROR(__xludf.DUMMYFUNCTION("""COMPUTED_VALUE"""),"04701394000166")</f>
        <v>04701394000166</v>
      </c>
      <c r="E16" s="34">
        <v>0</v>
      </c>
      <c r="F16" s="34">
        <v>0</v>
      </c>
      <c r="G16" s="34">
        <v>126</v>
      </c>
      <c r="H16" s="34">
        <v>0</v>
      </c>
      <c r="I16" s="34">
        <v>0</v>
      </c>
      <c r="J16" s="34">
        <v>0</v>
      </c>
      <c r="K16" s="34">
        <v>6778.8</v>
      </c>
      <c r="L16" s="34">
        <v>0</v>
      </c>
      <c r="M16" s="34">
        <v>0</v>
      </c>
      <c r="N16" s="34">
        <v>0</v>
      </c>
      <c r="O16" s="35" t="s">
        <v>24</v>
      </c>
      <c r="P16" s="35" t="s">
        <v>27</v>
      </c>
      <c r="Q16" s="35" t="s">
        <v>36</v>
      </c>
      <c r="R16" s="34">
        <v>6904.8</v>
      </c>
    </row>
    <row r="17" spans="1:18" ht="12.75">
      <c r="A17" s="36" t="str">
        <f ca="1">IFERROR(__xludf.DUMMYFUNCTION("""COMPUTED_VALUE"""),"Palmas")</f>
        <v>Palmas</v>
      </c>
      <c r="B17" s="36" t="str">
        <f ca="1">IFERROR(__xludf.DUMMYFUNCTION("""COMPUTED_VALUE"""),"Palmas")</f>
        <v>Palmas</v>
      </c>
      <c r="C17" s="36" t="str">
        <f ca="1">IFERROR(__xludf.DUMMYFUNCTION("""COMPUTED_VALUE"""),"ASSOC. DE APOIO COL. EST. DE TAQUARALTO")</f>
        <v>ASSOC. DE APOIO COL. EST. DE TAQUARALTO</v>
      </c>
      <c r="D17" s="37" t="str">
        <f ca="1">IFERROR(__xludf.DUMMYFUNCTION("""COMPUTED_VALUE"""),"03233677000168")</f>
        <v>03233677000168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12222</v>
      </c>
      <c r="L17" s="23">
        <v>0</v>
      </c>
      <c r="M17" s="23">
        <v>0</v>
      </c>
      <c r="N17" s="23">
        <v>3645.6</v>
      </c>
      <c r="O17" s="38" t="s">
        <v>24</v>
      </c>
      <c r="P17" s="38" t="s">
        <v>27</v>
      </c>
      <c r="Q17" s="38" t="s">
        <v>37</v>
      </c>
      <c r="R17" s="23">
        <v>15867.6</v>
      </c>
    </row>
    <row r="18" spans="1:18" ht="12.75">
      <c r="A18" s="39" t="str">
        <f ca="1">IFERROR(__xludf.DUMMYFUNCTION("""COMPUTED_VALUE"""),"Palmas")</f>
        <v>Palmas</v>
      </c>
      <c r="B18" s="39" t="str">
        <f ca="1">IFERROR(__xludf.DUMMYFUNCTION("""COMPUTED_VALUE"""),"Palmas")</f>
        <v>Palmas</v>
      </c>
      <c r="C18" s="32" t="str">
        <f ca="1">IFERROR(__xludf.DUMMYFUNCTION("""COMPUTED_VALUE"""),"ASSOC. COMUN.ESCOLAR DA ESC. EST. TIRADENTES")</f>
        <v>ASSOC. COMUN.ESCOLAR DA ESC. EST. TIRADENTES</v>
      </c>
      <c r="D18" s="33" t="str">
        <f ca="1">IFERROR(__xludf.DUMMYFUNCTION("""COMPUTED_VALUE"""),"00862122000197")</f>
        <v>00862122000197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8593.2000000000007</v>
      </c>
      <c r="L18" s="34">
        <v>0</v>
      </c>
      <c r="M18" s="34">
        <v>0</v>
      </c>
      <c r="N18" s="34">
        <v>0</v>
      </c>
      <c r="O18" s="35" t="s">
        <v>24</v>
      </c>
      <c r="P18" s="35" t="s">
        <v>27</v>
      </c>
      <c r="Q18" s="35" t="s">
        <v>38</v>
      </c>
      <c r="R18" s="34">
        <v>8593.2000000000007</v>
      </c>
    </row>
    <row r="19" spans="1:18" ht="12.75">
      <c r="A19" s="36" t="str">
        <f ca="1">IFERROR(__xludf.DUMMYFUNCTION("""COMPUTED_VALUE"""),"Palmas")</f>
        <v>Palmas</v>
      </c>
      <c r="B19" s="36" t="str">
        <f ca="1">IFERROR(__xludf.DUMMYFUNCTION("""COMPUTED_VALUE"""),"Palmas")</f>
        <v>Palmas</v>
      </c>
      <c r="C19" s="36" t="str">
        <f ca="1">IFERROR(__xludf.DUMMYFUNCTION("""COMPUTED_VALUE"""),"ASSOCIAÇÃO DE APOIO A ESC. ESTADUAL DA 403 SUL")</f>
        <v>ASSOCIAÇÃO DE APOIO A ESC. ESTADUAL DA 403 SUL</v>
      </c>
      <c r="D19" s="37" t="str">
        <f ca="1">IFERROR(__xludf.DUMMYFUNCTION("""COMPUTED_VALUE"""),"11332101000186")</f>
        <v>11332101000186</v>
      </c>
      <c r="E19" s="23">
        <v>0</v>
      </c>
      <c r="F19" s="23">
        <v>0</v>
      </c>
      <c r="G19" s="23">
        <v>0</v>
      </c>
      <c r="H19" s="23">
        <v>6820.8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38" t="s">
        <v>24</v>
      </c>
      <c r="P19" s="38" t="s">
        <v>27</v>
      </c>
      <c r="Q19" s="38" t="s">
        <v>39</v>
      </c>
      <c r="R19" s="23">
        <v>6820.8</v>
      </c>
    </row>
    <row r="20" spans="1:18" ht="12.75">
      <c r="A20" s="39" t="str">
        <f ca="1">IFERROR(__xludf.DUMMYFUNCTION("""COMPUTED_VALUE"""),"Palmas")</f>
        <v>Palmas</v>
      </c>
      <c r="B20" s="39" t="str">
        <f ca="1">IFERROR(__xludf.DUMMYFUNCTION("""COMPUTED_VALUE"""),"Palmas")</f>
        <v>Palmas</v>
      </c>
      <c r="C20" s="32" t="str">
        <f ca="1">IFERROR(__xludf.DUMMYFUNCTION("""COMPUTED_VALUE"""),"A.C.ESC.M.FUT. C.E. CRIANCA ESPERANCA")</f>
        <v>A.C.ESC.M.FUT. C.E. CRIANCA ESPERANCA</v>
      </c>
      <c r="D20" s="33" t="str">
        <f ca="1">IFERROR(__xludf.DUMMYFUNCTION("""COMPUTED_VALUE"""),"01920781000103")</f>
        <v>01920781000103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2444.4</v>
      </c>
      <c r="L20" s="34">
        <v>0</v>
      </c>
      <c r="M20" s="34">
        <v>0</v>
      </c>
      <c r="N20" s="34">
        <v>3292.8</v>
      </c>
      <c r="O20" s="35" t="s">
        <v>24</v>
      </c>
      <c r="P20" s="35" t="s">
        <v>27</v>
      </c>
      <c r="Q20" s="35" t="s">
        <v>40</v>
      </c>
      <c r="R20" s="34">
        <v>5737.2000000000007</v>
      </c>
    </row>
    <row r="21" spans="1:18" ht="12.75">
      <c r="A21" s="40" t="str">
        <f ca="1">IFERROR(__xludf.DUMMYFUNCTION("""COMPUTED_VALUE"""),"Palmas")</f>
        <v>Palmas</v>
      </c>
      <c r="B21" s="40" t="str">
        <f ca="1">IFERROR(__xludf.DUMMYFUNCTION("""COMPUTED_VALUE"""),"Palmas")</f>
        <v>Palmas</v>
      </c>
      <c r="C21" s="41" t="str">
        <f ca="1">IFERROR(__xludf.DUMMYFUNCTION("""COMPUTED_VALUE"""),"A. COM. E-E. E. DOM ALANO MARIE DU NODAY")</f>
        <v>A. COM. E-E. E. DOM ALANO MARIE DU NODAY</v>
      </c>
      <c r="D21" s="42" t="str">
        <f ca="1">IFERROR(__xludf.DUMMYFUNCTION("""COMPUTED_VALUE"""),"01343125000187")</f>
        <v>01343125000187</v>
      </c>
      <c r="E21" s="43">
        <v>0</v>
      </c>
      <c r="F21" s="43">
        <v>0</v>
      </c>
      <c r="G21" s="43">
        <v>0</v>
      </c>
      <c r="H21" s="43">
        <v>2192.4</v>
      </c>
      <c r="I21" s="43">
        <v>0</v>
      </c>
      <c r="J21" s="43">
        <v>0</v>
      </c>
      <c r="K21" s="43">
        <v>6014.4</v>
      </c>
      <c r="L21" s="43">
        <v>0</v>
      </c>
      <c r="M21" s="43">
        <v>0</v>
      </c>
      <c r="N21" s="43">
        <v>1377.6</v>
      </c>
      <c r="O21" s="44" t="s">
        <v>24</v>
      </c>
      <c r="P21" s="44" t="s">
        <v>27</v>
      </c>
      <c r="Q21" s="44" t="s">
        <v>41</v>
      </c>
      <c r="R21" s="43">
        <v>9584.4</v>
      </c>
    </row>
    <row r="22" spans="1:18" ht="12.75">
      <c r="A22" s="39" t="str">
        <f ca="1">IFERROR(__xludf.DUMMYFUNCTION("""COMPUTED_VALUE"""),"Palmas")</f>
        <v>Palmas</v>
      </c>
      <c r="B22" s="39" t="str">
        <f ca="1">IFERROR(__xludf.DUMMYFUNCTION("""COMPUTED_VALUE"""),"Palmas")</f>
        <v>Palmas</v>
      </c>
      <c r="C22" s="32" t="str">
        <f ca="1">IFERROR(__xludf.DUMMYFUNCTION("""COMPUTED_VALUE"""),"ACE COL. EST. DUQUE DE CAXIAS")</f>
        <v>ACE COL. EST. DUQUE DE CAXIAS</v>
      </c>
      <c r="D22" s="33" t="str">
        <f ca="1">IFERROR(__xludf.DUMMYFUNCTION("""COMPUTED_VALUE"""),"01588669000109")</f>
        <v>01588669000109</v>
      </c>
      <c r="E22" s="34">
        <v>0</v>
      </c>
      <c r="F22" s="34">
        <v>0</v>
      </c>
      <c r="G22" s="34">
        <v>134.4</v>
      </c>
      <c r="H22" s="34">
        <v>1192.8</v>
      </c>
      <c r="I22" s="34">
        <v>0</v>
      </c>
      <c r="J22" s="34">
        <v>0</v>
      </c>
      <c r="K22" s="34">
        <v>2284.8000000000002</v>
      </c>
      <c r="L22" s="34">
        <v>0</v>
      </c>
      <c r="M22" s="34">
        <v>0</v>
      </c>
      <c r="N22" s="34">
        <v>1024.8</v>
      </c>
      <c r="O22" s="35" t="s">
        <v>24</v>
      </c>
      <c r="P22" s="35" t="s">
        <v>27</v>
      </c>
      <c r="Q22" s="35" t="s">
        <v>42</v>
      </c>
      <c r="R22" s="34">
        <v>4636.8</v>
      </c>
    </row>
    <row r="23" spans="1:18" ht="12.75">
      <c r="A23" s="36" t="str">
        <f ca="1">IFERROR(__xludf.DUMMYFUNCTION("""COMPUTED_VALUE"""),"Palmas")</f>
        <v>Palmas</v>
      </c>
      <c r="B23" s="36" t="str">
        <f ca="1">IFERROR(__xludf.DUMMYFUNCTION("""COMPUTED_VALUE"""),"Palmas")</f>
        <v>Palmas</v>
      </c>
      <c r="C23" s="36" t="str">
        <f ca="1">IFERROR(__xludf.DUMMYFUNCTION("""COMPUTED_VALUE"""),"ASSOC APOIO COL EST PROF DARCY CHAVES CARDEAL")</f>
        <v>ASSOC APOIO COL EST PROF DARCY CHAVES CARDEAL</v>
      </c>
      <c r="D23" s="37" t="str">
        <f ca="1">IFERROR(__xludf.DUMMYFUNCTION("""COMPUTED_VALUE"""),"08056007000137")</f>
        <v>08056007000137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1722</v>
      </c>
      <c r="L23" s="23">
        <v>0</v>
      </c>
      <c r="M23" s="23">
        <v>0</v>
      </c>
      <c r="N23" s="23">
        <v>2956.8</v>
      </c>
      <c r="O23" s="38" t="s">
        <v>24</v>
      </c>
      <c r="P23" s="38" t="s">
        <v>31</v>
      </c>
      <c r="Q23" s="38" t="s">
        <v>43</v>
      </c>
      <c r="R23" s="23">
        <v>4678.8</v>
      </c>
    </row>
    <row r="24" spans="1:18" ht="12.75">
      <c r="A24" s="39" t="str">
        <f ca="1">IFERROR(__xludf.DUMMYFUNCTION("""COMPUTED_VALUE"""),"Palmas")</f>
        <v>Palmas</v>
      </c>
      <c r="B24" s="39" t="str">
        <f ca="1">IFERROR(__xludf.DUMMYFUNCTION("""COMPUTED_VALUE"""),"Palmas")</f>
        <v>Palmas</v>
      </c>
      <c r="C24" s="32" t="str">
        <f ca="1">IFERROR(__xludf.DUMMYFUNCTION("""COMPUTED_VALUE"""),"A.A. COL GIRASSOL TEMPO INTEGRAL RAQUEL QUEIROZ")</f>
        <v>A.A. COL GIRASSOL TEMPO INTEGRAL RAQUEL QUEIROZ</v>
      </c>
      <c r="D24" s="33" t="str">
        <f ca="1">IFERROR(__xludf.DUMMYFUNCTION("""COMPUTED_VALUE"""),"13748657000183")</f>
        <v>13748657000183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7442.4</v>
      </c>
      <c r="L24" s="34">
        <v>0</v>
      </c>
      <c r="M24" s="34">
        <v>0</v>
      </c>
      <c r="N24" s="34">
        <v>0</v>
      </c>
      <c r="O24" s="35" t="s">
        <v>24</v>
      </c>
      <c r="P24" s="35" t="s">
        <v>44</v>
      </c>
      <c r="Q24" s="35" t="s">
        <v>45</v>
      </c>
      <c r="R24" s="34">
        <v>7442.4</v>
      </c>
    </row>
    <row r="25" spans="1:18" ht="12.75">
      <c r="A25" s="36" t="str">
        <f ca="1">IFERROR(__xludf.DUMMYFUNCTION("""COMPUTED_VALUE"""),"Palmas")</f>
        <v>Palmas</v>
      </c>
      <c r="B25" s="36" t="str">
        <f ca="1">IFERROR(__xludf.DUMMYFUNCTION("""COMPUTED_VALUE"""),"Palmas")</f>
        <v>Palmas</v>
      </c>
      <c r="C25" s="36" t="str">
        <f ca="1">IFERROR(__xludf.DUMMYFUNCTION("""COMPUTED_VALUE"""),"ASSOCIAÇÃO DE APOIO DA ESCOLA ESPECIAL INTEGRAÇÃO DE PALMAS")</f>
        <v>ASSOCIAÇÃO DE APOIO DA ESCOLA ESPECIAL INTEGRAÇÃO DE PALMAS</v>
      </c>
      <c r="D25" s="37" t="str">
        <f ca="1">IFERROR(__xludf.DUMMYFUNCTION("""COMPUTED_VALUE"""),"07958777000102")</f>
        <v>07958777000102</v>
      </c>
      <c r="E25" s="23">
        <v>228.8</v>
      </c>
      <c r="F25" s="23">
        <v>445.2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151.19999999999999</v>
      </c>
      <c r="O25" s="38" t="s">
        <v>24</v>
      </c>
      <c r="P25" s="38" t="s">
        <v>27</v>
      </c>
      <c r="Q25" s="38" t="s">
        <v>46</v>
      </c>
      <c r="R25" s="23">
        <v>825.2</v>
      </c>
    </row>
    <row r="26" spans="1:18" ht="12.75">
      <c r="A26" s="39" t="str">
        <f ca="1">IFERROR(__xludf.DUMMYFUNCTION("""COMPUTED_VALUE"""),"Palmas")</f>
        <v>Palmas</v>
      </c>
      <c r="B26" s="39" t="str">
        <f ca="1">IFERROR(__xludf.DUMMYFUNCTION("""COMPUTED_VALUE"""),"Palmas")</f>
        <v>Palmas</v>
      </c>
      <c r="C26" s="32" t="str">
        <f ca="1">IFERROR(__xludf.DUMMYFUNCTION("""COMPUTED_VALUE"""),"A.COM. ESC. E. E.BEIRA RIO/PORTO NACIONAL")</f>
        <v>A.COM. ESC. E. E.BEIRA RIO/PORTO NACIONAL</v>
      </c>
      <c r="D26" s="33" t="str">
        <f ca="1">IFERROR(__xludf.DUMMYFUNCTION("""COMPUTED_VALUE"""),"01797298000175")</f>
        <v>01797298000175</v>
      </c>
      <c r="E26" s="34">
        <v>0</v>
      </c>
      <c r="F26" s="34">
        <v>0</v>
      </c>
      <c r="G26" s="34">
        <v>142.80000000000001</v>
      </c>
      <c r="H26" s="34">
        <v>6182.4</v>
      </c>
      <c r="I26" s="34">
        <v>0</v>
      </c>
      <c r="J26" s="34">
        <v>0</v>
      </c>
      <c r="K26" s="34">
        <v>3334.8</v>
      </c>
      <c r="L26" s="34">
        <v>0</v>
      </c>
      <c r="M26" s="34">
        <v>0</v>
      </c>
      <c r="N26" s="34">
        <v>1125.5999999999999</v>
      </c>
      <c r="O26" s="35" t="s">
        <v>24</v>
      </c>
      <c r="P26" s="35" t="s">
        <v>27</v>
      </c>
      <c r="Q26" s="35" t="s">
        <v>47</v>
      </c>
      <c r="R26" s="34">
        <v>10785.6</v>
      </c>
    </row>
    <row r="27" spans="1:18" ht="12.75">
      <c r="A27" s="36" t="str">
        <f ca="1">IFERROR(__xludf.DUMMYFUNCTION("""COMPUTED_VALUE"""),"Palmas")</f>
        <v>Palmas</v>
      </c>
      <c r="B27" s="36" t="str">
        <f ca="1">IFERROR(__xludf.DUMMYFUNCTION("""COMPUTED_VALUE"""),"Palmas")</f>
        <v>Palmas</v>
      </c>
      <c r="C27" s="36" t="str">
        <f ca="1">IFERROR(__xludf.DUMMYFUNCTION("""COMPUTED_VALUE"""),"ACE UN.ESC. FREDEDERICO J. PEDRERA NETO")</f>
        <v>ACE UN.ESC. FREDEDERICO J. PEDRERA NETO</v>
      </c>
      <c r="D27" s="37" t="str">
        <f ca="1">IFERROR(__xludf.DUMMYFUNCTION("""COMPUTED_VALUE"""),"01862534000190")</f>
        <v>01862534000190</v>
      </c>
      <c r="E27" s="23">
        <v>0</v>
      </c>
      <c r="F27" s="23">
        <v>0</v>
      </c>
      <c r="G27" s="23">
        <v>218.4</v>
      </c>
      <c r="H27" s="23">
        <v>0</v>
      </c>
      <c r="I27" s="23">
        <v>0</v>
      </c>
      <c r="J27" s="23">
        <v>0</v>
      </c>
      <c r="K27" s="23">
        <v>7249.2</v>
      </c>
      <c r="L27" s="23">
        <v>0</v>
      </c>
      <c r="M27" s="23">
        <v>0</v>
      </c>
      <c r="N27" s="23">
        <v>2259.6</v>
      </c>
      <c r="O27" s="38" t="s">
        <v>24</v>
      </c>
      <c r="P27" s="38" t="s">
        <v>44</v>
      </c>
      <c r="Q27" s="38" t="s">
        <v>48</v>
      </c>
      <c r="R27" s="23">
        <v>9727.1999999999989</v>
      </c>
    </row>
    <row r="28" spans="1:18" ht="12.75">
      <c r="A28" s="39" t="str">
        <f ca="1">IFERROR(__xludf.DUMMYFUNCTION("""COMPUTED_VALUE"""),"Palmas")</f>
        <v>Palmas</v>
      </c>
      <c r="B28" s="39" t="str">
        <f ca="1">IFERROR(__xludf.DUMMYFUNCTION("""COMPUTED_VALUE"""),"Palmas")</f>
        <v>Palmas</v>
      </c>
      <c r="C28" s="32" t="str">
        <f ca="1">IFERROR(__xludf.DUMMYFUNCTION("""COMPUTED_VALUE"""),"A.CONS.ESCOLAR E. EST.I GRAU LIBERDADE")</f>
        <v>A.CONS.ESCOLAR E. EST.I GRAU LIBERDADE</v>
      </c>
      <c r="D28" s="33" t="str">
        <f ca="1">IFERROR(__xludf.DUMMYFUNCTION("""COMPUTED_VALUE"""),"01936355000150")</f>
        <v>01936355000150</v>
      </c>
      <c r="E28" s="34">
        <v>0</v>
      </c>
      <c r="F28" s="34">
        <v>0</v>
      </c>
      <c r="G28" s="34">
        <v>159.6</v>
      </c>
      <c r="H28" s="34">
        <v>2797.2</v>
      </c>
      <c r="I28" s="34">
        <v>0</v>
      </c>
      <c r="J28" s="34">
        <v>0</v>
      </c>
      <c r="K28" s="34">
        <v>3410.4</v>
      </c>
      <c r="L28" s="34">
        <v>0</v>
      </c>
      <c r="M28" s="34">
        <v>0</v>
      </c>
      <c r="N28" s="34">
        <v>3284.4</v>
      </c>
      <c r="O28" s="35" t="s">
        <v>24</v>
      </c>
      <c r="P28" s="35" t="s">
        <v>27</v>
      </c>
      <c r="Q28" s="35" t="s">
        <v>49</v>
      </c>
      <c r="R28" s="34">
        <v>9651.6</v>
      </c>
    </row>
    <row r="29" spans="1:18" ht="12.75">
      <c r="A29" s="36" t="str">
        <f ca="1">IFERROR(__xludf.DUMMYFUNCTION("""COMPUTED_VALUE"""),"Palmas")</f>
        <v>Palmas</v>
      </c>
      <c r="B29" s="36" t="str">
        <f ca="1">IFERROR(__xludf.DUMMYFUNCTION("""COMPUTED_VALUE"""),"Palmas")</f>
        <v>Palmas</v>
      </c>
      <c r="C29" s="36" t="str">
        <f ca="1">IFERROR(__xludf.DUMMYFUNCTION("""COMPUTED_VALUE"""),"ASSOC APOIO ESC EST MARIA DOS REIS ALVES BARROS")</f>
        <v>ASSOC APOIO ESC EST MARIA DOS REIS ALVES BARROS</v>
      </c>
      <c r="D29" s="37" t="str">
        <f ca="1">IFERROR(__xludf.DUMMYFUNCTION("""COMPUTED_VALUE"""),"08641263000191")</f>
        <v>08641263000191</v>
      </c>
      <c r="E29" s="23">
        <v>0</v>
      </c>
      <c r="F29" s="23">
        <v>0</v>
      </c>
      <c r="G29" s="23">
        <v>0</v>
      </c>
      <c r="H29" s="23">
        <v>9130.7999999999993</v>
      </c>
      <c r="I29" s="23">
        <v>0</v>
      </c>
      <c r="J29" s="23">
        <v>19602</v>
      </c>
      <c r="K29" s="23">
        <v>4040.4</v>
      </c>
      <c r="L29" s="23">
        <v>0</v>
      </c>
      <c r="M29" s="23">
        <v>0</v>
      </c>
      <c r="N29" s="23">
        <v>2478</v>
      </c>
      <c r="O29" s="38" t="s">
        <v>24</v>
      </c>
      <c r="P29" s="38" t="s">
        <v>27</v>
      </c>
      <c r="Q29" s="38" t="s">
        <v>50</v>
      </c>
      <c r="R29" s="23">
        <v>35251.199999999997</v>
      </c>
    </row>
    <row r="30" spans="1:18" ht="12.75">
      <c r="A30" s="39" t="str">
        <f ca="1">IFERROR(__xludf.DUMMYFUNCTION("""COMPUTED_VALUE"""),"Palmas")</f>
        <v>Palmas</v>
      </c>
      <c r="B30" s="39" t="str">
        <f ca="1">IFERROR(__xludf.DUMMYFUNCTION("""COMPUTED_VALUE"""),"Palmas")</f>
        <v>Palmas</v>
      </c>
      <c r="C30" s="32" t="str">
        <f ca="1">IFERROR(__xludf.DUMMYFUNCTION("""COMPUTED_VALUE"""),"ASSOCIAÇÃO DE APOIO A ESCOLA ESTADUAL NOVA GERAÇÃO")</f>
        <v>ASSOCIAÇÃO DE APOIO A ESCOLA ESTADUAL NOVA GERAÇÃO</v>
      </c>
      <c r="D30" s="33" t="str">
        <f ca="1">IFERROR(__xludf.DUMMYFUNCTION("""COMPUTED_VALUE"""),"10524500000186")</f>
        <v>10524500000186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428.4</v>
      </c>
      <c r="O30" s="35" t="s">
        <v>25</v>
      </c>
      <c r="P30" s="35" t="s">
        <v>51</v>
      </c>
      <c r="Q30" s="35" t="s">
        <v>52</v>
      </c>
      <c r="R30" s="34">
        <v>428.4</v>
      </c>
    </row>
    <row r="31" spans="1:18" ht="12.75">
      <c r="A31" s="36" t="str">
        <f ca="1">IFERROR(__xludf.DUMMYFUNCTION("""COMPUTED_VALUE"""),"Palmas")</f>
        <v>Palmas</v>
      </c>
      <c r="B31" s="36" t="str">
        <f ca="1">IFERROR(__xludf.DUMMYFUNCTION("""COMPUTED_VALUE"""),"Palmas")</f>
        <v>Palmas</v>
      </c>
      <c r="C31" s="36" t="str">
        <f ca="1">IFERROR(__xludf.DUMMYFUNCTION("""COMPUTED_VALUE"""),"A.COM. DA ESC. EST. NOVO HORIZONTE")</f>
        <v>A.COM. DA ESC. EST. NOVO HORIZONTE</v>
      </c>
      <c r="D31" s="37" t="str">
        <f ca="1">IFERROR(__xludf.DUMMYFUNCTION("""COMPUTED_VALUE"""),"01221539000133")</f>
        <v>01221539000133</v>
      </c>
      <c r="E31" s="23">
        <v>0</v>
      </c>
      <c r="F31" s="23">
        <v>0</v>
      </c>
      <c r="G31" s="23">
        <v>302.39999999999998</v>
      </c>
      <c r="H31" s="23">
        <v>6048</v>
      </c>
      <c r="I31" s="23">
        <v>0</v>
      </c>
      <c r="J31" s="23">
        <v>0</v>
      </c>
      <c r="K31" s="23">
        <v>4048.8</v>
      </c>
      <c r="L31" s="23">
        <v>0</v>
      </c>
      <c r="M31" s="23">
        <v>0</v>
      </c>
      <c r="N31" s="23">
        <v>1957.2</v>
      </c>
      <c r="O31" s="38" t="s">
        <v>24</v>
      </c>
      <c r="P31" s="38" t="s">
        <v>27</v>
      </c>
      <c r="Q31" s="38" t="s">
        <v>53</v>
      </c>
      <c r="R31" s="23">
        <v>12356.400000000001</v>
      </c>
    </row>
    <row r="32" spans="1:18" ht="12.75">
      <c r="A32" s="39" t="str">
        <f ca="1">IFERROR(__xludf.DUMMYFUNCTION("""COMPUTED_VALUE"""),"Palmas")</f>
        <v>Palmas</v>
      </c>
      <c r="B32" s="39" t="str">
        <f ca="1">IFERROR(__xludf.DUMMYFUNCTION("""COMPUTED_VALUE"""),"Palmas")</f>
        <v>Palmas</v>
      </c>
      <c r="C32" s="32" t="str">
        <f ca="1">IFERROR(__xludf.DUMMYFUNCTION("""COMPUTED_VALUE"""),"A.A. DA COM. ESCOLAR - ESC. EST. SANTA FE")</f>
        <v>A.A. DA COM. ESCOLAR - ESC. EST. SANTA FE</v>
      </c>
      <c r="D32" s="33" t="str">
        <f ca="1">IFERROR(__xludf.DUMMYFUNCTION("""COMPUTED_VALUE"""),"01932049000145")</f>
        <v>01932049000145</v>
      </c>
      <c r="E32" s="34">
        <v>0</v>
      </c>
      <c r="F32" s="34">
        <v>0</v>
      </c>
      <c r="G32" s="34">
        <v>0</v>
      </c>
      <c r="H32" s="34">
        <v>1218</v>
      </c>
      <c r="I32" s="34">
        <v>0</v>
      </c>
      <c r="J32" s="34">
        <v>5022</v>
      </c>
      <c r="K32" s="34">
        <v>1772.4</v>
      </c>
      <c r="L32" s="34">
        <v>0</v>
      </c>
      <c r="M32" s="34">
        <v>0</v>
      </c>
      <c r="N32" s="34">
        <v>0</v>
      </c>
      <c r="O32" s="35" t="s">
        <v>24</v>
      </c>
      <c r="P32" s="35" t="s">
        <v>54</v>
      </c>
      <c r="Q32" s="35" t="s">
        <v>55</v>
      </c>
      <c r="R32" s="34">
        <v>8012.4</v>
      </c>
    </row>
    <row r="33" spans="1:18" ht="12.75">
      <c r="A33" s="36" t="str">
        <f ca="1">IFERROR(__xludf.DUMMYFUNCTION("""COMPUTED_VALUE"""),"Palmas")</f>
        <v>Palmas</v>
      </c>
      <c r="B33" s="36" t="str">
        <f ca="1">IFERROR(__xludf.DUMMYFUNCTION("""COMPUTED_VALUE"""),"Palmas")</f>
        <v>Palmas</v>
      </c>
      <c r="C33" s="36" t="str">
        <f ca="1">IFERROR(__xludf.DUMMYFUNCTION("""COMPUTED_VALUE"""),"A.COMUN.ESCOLA-DA ESC. EST. SETOR SUL")</f>
        <v>A.COMUN.ESCOLA-DA ESC. EST. SETOR SUL</v>
      </c>
      <c r="D33" s="37" t="str">
        <f ca="1">IFERROR(__xludf.DUMMYFUNCTION("""COMPUTED_VALUE"""),"01926545000196")</f>
        <v>01926545000196</v>
      </c>
      <c r="E33" s="23">
        <v>0</v>
      </c>
      <c r="F33" s="23">
        <v>0</v>
      </c>
      <c r="G33" s="23">
        <v>168</v>
      </c>
      <c r="H33" s="23">
        <v>2940</v>
      </c>
      <c r="I33" s="23">
        <v>0</v>
      </c>
      <c r="J33" s="23">
        <v>0</v>
      </c>
      <c r="K33" s="23">
        <v>2721.6</v>
      </c>
      <c r="L33" s="23">
        <v>0</v>
      </c>
      <c r="M33" s="23">
        <v>0</v>
      </c>
      <c r="N33" s="23">
        <v>1260</v>
      </c>
      <c r="O33" s="38" t="s">
        <v>24</v>
      </c>
      <c r="P33" s="38" t="s">
        <v>27</v>
      </c>
      <c r="Q33" s="38" t="s">
        <v>56</v>
      </c>
      <c r="R33" s="23">
        <v>7089.6</v>
      </c>
    </row>
    <row r="34" spans="1:18" ht="12.75">
      <c r="A34" s="39" t="str">
        <f ca="1">IFERROR(__xludf.DUMMYFUNCTION("""COMPUTED_VALUE"""),"Palmas")</f>
        <v>Palmas</v>
      </c>
      <c r="B34" s="39" t="str">
        <f ca="1">IFERROR(__xludf.DUMMYFUNCTION("""COMPUTED_VALUE"""),"Palmas")</f>
        <v>Palmas</v>
      </c>
      <c r="C34" s="32" t="str">
        <f ca="1">IFERROR(__xludf.DUMMYFUNCTION("""COMPUTED_VALUE"""),"A.COMUNIDADE ESCOLA/E. EST. VALE DO SOL")</f>
        <v>A.COMUNIDADE ESCOLA/E. EST. VALE DO SOL</v>
      </c>
      <c r="D34" s="33" t="str">
        <f ca="1">IFERROR(__xludf.DUMMYFUNCTION("""COMPUTED_VALUE"""),"01873442000105")</f>
        <v>01873442000105</v>
      </c>
      <c r="E34" s="34">
        <v>0</v>
      </c>
      <c r="F34" s="34">
        <v>0</v>
      </c>
      <c r="G34" s="34">
        <v>142.80000000000001</v>
      </c>
      <c r="H34" s="34">
        <v>1915.2</v>
      </c>
      <c r="I34" s="34">
        <v>0</v>
      </c>
      <c r="J34" s="34">
        <v>0</v>
      </c>
      <c r="K34" s="34">
        <v>2242.8000000000002</v>
      </c>
      <c r="L34" s="34">
        <v>0</v>
      </c>
      <c r="M34" s="34">
        <v>0</v>
      </c>
      <c r="N34" s="34">
        <v>0</v>
      </c>
      <c r="O34" s="35" t="s">
        <v>24</v>
      </c>
      <c r="P34" s="35" t="s">
        <v>27</v>
      </c>
      <c r="Q34" s="35" t="s">
        <v>57</v>
      </c>
      <c r="R34" s="34">
        <v>4300.8</v>
      </c>
    </row>
    <row r="35" spans="1:18" ht="12.75">
      <c r="A35" s="36" t="str">
        <f ca="1">IFERROR(__xludf.DUMMYFUNCTION("""COMPUTED_VALUE"""),"Palmas")</f>
        <v>Palmas</v>
      </c>
      <c r="B35" s="36" t="str">
        <f ca="1">IFERROR(__xludf.DUMMYFUNCTION("""COMPUTED_VALUE"""),"Palmas")</f>
        <v>Palmas</v>
      </c>
      <c r="C35" s="36" t="str">
        <f ca="1">IFERROR(__xludf.DUMMYFUNCTION("""COMPUTED_VALUE"""),"A.P.M.DA ESC. EST. DE I GRAU VILA UNIAO")</f>
        <v>A.P.M.DA ESC. EST. DE I GRAU VILA UNIAO</v>
      </c>
      <c r="D35" s="37" t="str">
        <f ca="1">IFERROR(__xludf.DUMMYFUNCTION("""COMPUTED_VALUE"""),"01926551000143")</f>
        <v>01926551000143</v>
      </c>
      <c r="E35" s="23">
        <v>0</v>
      </c>
      <c r="F35" s="23">
        <v>0</v>
      </c>
      <c r="G35" s="23">
        <v>92.4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38" t="s">
        <v>24</v>
      </c>
      <c r="P35" s="38" t="s">
        <v>27</v>
      </c>
      <c r="Q35" s="38" t="s">
        <v>58</v>
      </c>
      <c r="R35" s="23">
        <v>92.4</v>
      </c>
    </row>
    <row r="36" spans="1:18" ht="12.75">
      <c r="A36" s="39" t="str">
        <f ca="1">IFERROR(__xludf.DUMMYFUNCTION("""COMPUTED_VALUE"""),"Palmas")</f>
        <v>Palmas</v>
      </c>
      <c r="B36" s="39" t="str">
        <f ca="1">IFERROR(__xludf.DUMMYFUNCTION("""COMPUTED_VALUE"""),"Palmas")</f>
        <v>Palmas</v>
      </c>
      <c r="C36" s="32" t="str">
        <f ca="1">IFERROR(__xludf.DUMMYFUNCTION("""COMPUTED_VALUE"""),"AÇÃO SOCIAL JESUS DE NAZARÉ/ESC JOÃO PAULO II")</f>
        <v>AÇÃO SOCIAL JESUS DE NAZARÉ/ESC JOÃO PAULO II</v>
      </c>
      <c r="D36" s="33" t="str">
        <f ca="1">IFERROR(__xludf.DUMMYFUNCTION("""COMPUTED_VALUE"""),"03005522000174")</f>
        <v>03005522000174</v>
      </c>
      <c r="E36" s="34">
        <v>0</v>
      </c>
      <c r="F36" s="34">
        <v>0</v>
      </c>
      <c r="G36" s="34">
        <v>0</v>
      </c>
      <c r="H36" s="34">
        <v>2494.8000000000002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5" t="s">
        <v>24</v>
      </c>
      <c r="P36" s="35" t="s">
        <v>27</v>
      </c>
      <c r="Q36" s="35" t="s">
        <v>59</v>
      </c>
      <c r="R36" s="34">
        <v>2494.8000000000002</v>
      </c>
    </row>
    <row r="37" spans="1:18" ht="12.75">
      <c r="A37" s="36" t="str">
        <f ca="1">IFERROR(__xludf.DUMMYFUNCTION("""COMPUTED_VALUE"""),"Palmas")</f>
        <v>Palmas</v>
      </c>
      <c r="B37" s="36" t="str">
        <f ca="1">IFERROR(__xludf.DUMMYFUNCTION("""COMPUTED_VALUE"""),"Palmas")</f>
        <v>Palmas</v>
      </c>
      <c r="C37" s="36" t="str">
        <f ca="1">IFERROR(__xludf.DUMMYFUNCTION("""COMPUTED_VALUE"""),"A.A. DO INST.PRESB.EDUC.SOC.REV.ROBERT CA")</f>
        <v>A.A. DO INST.PRESB.EDUC.SOC.REV.ROBERT CA</v>
      </c>
      <c r="D37" s="37" t="str">
        <f ca="1">IFERROR(__xludf.DUMMYFUNCTION("""COMPUTED_VALUE"""),"05470057000178")</f>
        <v>05470057000178</v>
      </c>
      <c r="E37" s="23">
        <v>0</v>
      </c>
      <c r="F37" s="23">
        <v>0</v>
      </c>
      <c r="G37" s="23">
        <v>0</v>
      </c>
      <c r="H37" s="23">
        <v>4174.8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38" t="s">
        <v>24</v>
      </c>
      <c r="P37" s="38" t="s">
        <v>27</v>
      </c>
      <c r="Q37" s="38" t="s">
        <v>60</v>
      </c>
      <c r="R37" s="23">
        <v>4174.8</v>
      </c>
    </row>
    <row r="38" spans="1:18" ht="12.75">
      <c r="A38" s="39" t="str">
        <f ca="1">IFERROR(__xludf.DUMMYFUNCTION("""COMPUTED_VALUE"""),"Palmas")</f>
        <v>Palmas</v>
      </c>
      <c r="B38" s="39" t="str">
        <f ca="1">IFERROR(__xludf.DUMMYFUNCTION("""COMPUTED_VALUE"""),"Palmas")</f>
        <v>Palmas</v>
      </c>
      <c r="C38" s="32" t="str">
        <f ca="1">IFERROR(__xludf.DUMMYFUNCTION("""COMPUTED_VALUE"""),"A.P.E M. DA ESC. EST. MADRE BELEM")</f>
        <v>A.P.E M. DA ESC. EST. MADRE BELEM</v>
      </c>
      <c r="D38" s="33" t="str">
        <f ca="1">IFERROR(__xludf.DUMMYFUNCTION("""COMPUTED_VALUE"""),"01034134000196")</f>
        <v>01034134000196</v>
      </c>
      <c r="E38" s="34">
        <v>0</v>
      </c>
      <c r="F38" s="34">
        <v>0</v>
      </c>
      <c r="G38" s="34">
        <v>142.80000000000001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4">
        <v>0</v>
      </c>
      <c r="O38" s="35" t="s">
        <v>24</v>
      </c>
      <c r="P38" s="35" t="s">
        <v>61</v>
      </c>
      <c r="Q38" s="35" t="s">
        <v>62</v>
      </c>
      <c r="R38" s="34">
        <v>142.80000000000001</v>
      </c>
    </row>
    <row r="39" spans="1:18" ht="12.75">
      <c r="A39" s="36" t="str">
        <f ca="1">IFERROR(__xludf.DUMMYFUNCTION("""COMPUTED_VALUE"""),"Palmas")</f>
        <v>Palmas</v>
      </c>
      <c r="B39" s="36" t="str">
        <f ca="1">IFERROR(__xludf.DUMMYFUNCTION("""COMPUTED_VALUE"""),"Rio Sono")</f>
        <v>Rio Sono</v>
      </c>
      <c r="C39" s="36" t="str">
        <f ca="1">IFERROR(__xludf.DUMMYFUNCTION("""COMPUTED_VALUE"""),"A. DE PAIS E MESTRES DO COL. EST.RIO SONO")</f>
        <v>A. DE PAIS E MESTRES DO COL. EST.RIO SONO</v>
      </c>
      <c r="D39" s="37" t="str">
        <f ca="1">IFERROR(__xludf.DUMMYFUNCTION("""COMPUTED_VALUE"""),"01184376000166")</f>
        <v>01184376000166</v>
      </c>
      <c r="E39" s="23">
        <v>0</v>
      </c>
      <c r="F39" s="23">
        <v>0</v>
      </c>
      <c r="G39" s="23">
        <v>411.6</v>
      </c>
      <c r="H39" s="23">
        <v>1873.2</v>
      </c>
      <c r="I39" s="23">
        <v>0</v>
      </c>
      <c r="J39" s="23">
        <v>0</v>
      </c>
      <c r="K39" s="23">
        <v>1646.4</v>
      </c>
      <c r="L39" s="23">
        <v>0</v>
      </c>
      <c r="M39" s="23">
        <v>0</v>
      </c>
      <c r="N39" s="23">
        <v>235.2</v>
      </c>
      <c r="O39" s="38" t="s">
        <v>24</v>
      </c>
      <c r="P39" s="38" t="s">
        <v>27</v>
      </c>
      <c r="Q39" s="38" t="s">
        <v>63</v>
      </c>
      <c r="R39" s="23">
        <v>4166.4000000000005</v>
      </c>
    </row>
    <row r="40" spans="1:18" ht="12.75">
      <c r="A40" s="39" t="str">
        <f ca="1">IFERROR(__xludf.DUMMYFUNCTION("""COMPUTED_VALUE"""),"Palmas")</f>
        <v>Palmas</v>
      </c>
      <c r="B40" s="39" t="str">
        <f ca="1">IFERROR(__xludf.DUMMYFUNCTION("""COMPUTED_VALUE"""),"Rio Sono")</f>
        <v>Rio Sono</v>
      </c>
      <c r="C40" s="32" t="str">
        <f ca="1">IFERROR(__xludf.DUMMYFUNCTION("""COMPUTED_VALUE"""),"A.A.  ESCOLA EST. IMACULADA CONCEICAO")</f>
        <v>A.A.  ESCOLA EST. IMACULADA CONCEICAO</v>
      </c>
      <c r="D40" s="33" t="str">
        <f ca="1">IFERROR(__xludf.DUMMYFUNCTION("""COMPUTED_VALUE"""),"01197175000101")</f>
        <v>01197175000101</v>
      </c>
      <c r="E40" s="34">
        <v>0</v>
      </c>
      <c r="F40" s="34">
        <v>0</v>
      </c>
      <c r="G40" s="34">
        <v>0</v>
      </c>
      <c r="H40" s="34">
        <v>865.2</v>
      </c>
      <c r="I40" s="34">
        <v>0</v>
      </c>
      <c r="J40" s="34">
        <v>0</v>
      </c>
      <c r="K40" s="34">
        <v>504</v>
      </c>
      <c r="L40" s="34">
        <v>0</v>
      </c>
      <c r="M40" s="34">
        <v>0</v>
      </c>
      <c r="N40" s="34">
        <v>0</v>
      </c>
      <c r="O40" s="35" t="s">
        <v>24</v>
      </c>
      <c r="P40" s="35" t="s">
        <v>26</v>
      </c>
      <c r="Q40" s="35" t="s">
        <v>64</v>
      </c>
      <c r="R40" s="34">
        <v>1369.2</v>
      </c>
    </row>
    <row r="41" spans="1:18" ht="12.75">
      <c r="A41" s="36" t="str">
        <f ca="1">IFERROR(__xludf.DUMMYFUNCTION("""COMPUTED_VALUE"""),"Palmas")</f>
        <v>Palmas</v>
      </c>
      <c r="B41" s="36" t="str">
        <f ca="1">IFERROR(__xludf.DUMMYFUNCTION("""COMPUTED_VALUE"""),"Rio Sono")</f>
        <v>Rio Sono</v>
      </c>
      <c r="C41" s="36" t="str">
        <f ca="1">IFERROR(__xludf.DUMMYFUNCTION("""COMPUTED_VALUE"""),"A.A. ESCOLA ESTADUAL NOVO HORIZONTE")</f>
        <v>A.A. ESCOLA ESTADUAL NOVO HORIZONTE</v>
      </c>
      <c r="D41" s="37" t="str">
        <f ca="1">IFERROR(__xludf.DUMMYFUNCTION("""COMPUTED_VALUE"""),"01197156000177")</f>
        <v>01197156000177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1170</v>
      </c>
      <c r="K41" s="23">
        <v>0</v>
      </c>
      <c r="L41" s="23">
        <v>0</v>
      </c>
      <c r="M41" s="23">
        <v>0</v>
      </c>
      <c r="N41" s="23">
        <v>0</v>
      </c>
      <c r="O41" s="38" t="s">
        <v>24</v>
      </c>
      <c r="P41" s="38" t="s">
        <v>26</v>
      </c>
      <c r="Q41" s="38" t="s">
        <v>65</v>
      </c>
      <c r="R41" s="23">
        <v>1170</v>
      </c>
    </row>
    <row r="42" spans="1:18" ht="12.75">
      <c r="A42" s="39" t="str">
        <f ca="1">IFERROR(__xludf.DUMMYFUNCTION("""COMPUTED_VALUE"""),"Palmas")</f>
        <v>Palmas</v>
      </c>
      <c r="B42" s="39" t="str">
        <f ca="1">IFERROR(__xludf.DUMMYFUNCTION("""COMPUTED_VALUE"""),"Santa Tereza do Tocantins")</f>
        <v>Santa Tereza do Tocantins</v>
      </c>
      <c r="C42" s="32" t="str">
        <f ca="1">IFERROR(__xludf.DUMMYFUNCTION("""COMPUTED_VALUE"""),"A.A. C.EST. MANOEL S.DOURADO")</f>
        <v>A.A. C.EST. MANOEL S.DOURADO</v>
      </c>
      <c r="D42" s="33" t="str">
        <f ca="1">IFERROR(__xludf.DUMMYFUNCTION("""COMPUTED_VALUE"""),"01136013000155")</f>
        <v>01136013000155</v>
      </c>
      <c r="E42" s="34">
        <v>0</v>
      </c>
      <c r="F42" s="34">
        <v>0</v>
      </c>
      <c r="G42" s="34">
        <v>0</v>
      </c>
      <c r="H42" s="34">
        <v>537.6</v>
      </c>
      <c r="I42" s="34">
        <v>0</v>
      </c>
      <c r="J42" s="34">
        <v>0</v>
      </c>
      <c r="K42" s="34">
        <v>1058.4000000000001</v>
      </c>
      <c r="L42" s="34">
        <v>0</v>
      </c>
      <c r="M42" s="34">
        <v>0</v>
      </c>
      <c r="N42" s="34">
        <v>0</v>
      </c>
      <c r="O42" s="35" t="s">
        <v>24</v>
      </c>
      <c r="P42" s="35" t="s">
        <v>66</v>
      </c>
      <c r="Q42" s="35" t="s">
        <v>67</v>
      </c>
      <c r="R42" s="34">
        <v>1596</v>
      </c>
    </row>
    <row r="43" spans="1:18" ht="12.75">
      <c r="A43" s="36" t="str">
        <f ca="1">IFERROR(__xludf.DUMMYFUNCTION("""COMPUTED_VALUE"""),"Palmas")</f>
        <v>Palmas</v>
      </c>
      <c r="B43" s="36" t="str">
        <f ca="1">IFERROR(__xludf.DUMMYFUNCTION("""COMPUTED_VALUE"""),"Sao Felix do Tocantins")</f>
        <v>Sao Felix do Tocantins</v>
      </c>
      <c r="C43" s="36" t="str">
        <f ca="1">IFERROR(__xludf.DUMMYFUNCTION("""COMPUTED_VALUE"""),"A. DE AP.ESC. EST. SAGRADO CORACAO DE JESUS")</f>
        <v>A. DE AP.ESC. EST. SAGRADO CORACAO DE JESUS</v>
      </c>
      <c r="D43" s="37" t="str">
        <f ca="1">IFERROR(__xludf.DUMMYFUNCTION("""COMPUTED_VALUE"""),"01656550000126")</f>
        <v>01656550000126</v>
      </c>
      <c r="E43" s="23">
        <v>0</v>
      </c>
      <c r="F43" s="23">
        <v>0</v>
      </c>
      <c r="G43" s="23">
        <v>0</v>
      </c>
      <c r="H43" s="23">
        <v>2503.1999999999998</v>
      </c>
      <c r="I43" s="23">
        <v>0</v>
      </c>
      <c r="J43" s="23">
        <v>0</v>
      </c>
      <c r="K43" s="23">
        <v>747.6</v>
      </c>
      <c r="L43" s="23">
        <v>0</v>
      </c>
      <c r="M43" s="23">
        <v>0</v>
      </c>
      <c r="N43" s="23">
        <v>0</v>
      </c>
      <c r="O43" s="38" t="s">
        <v>24</v>
      </c>
      <c r="P43" s="38" t="s">
        <v>31</v>
      </c>
      <c r="Q43" s="38" t="s">
        <v>68</v>
      </c>
      <c r="R43" s="23">
        <v>3250.7999999999997</v>
      </c>
    </row>
  </sheetData>
  <autoFilter ref="A8:R43"/>
  <customSheetViews>
    <customSheetView guid="{7BF180E0-B6E4-4359-B66E-3BDB4DE294CE}" filter="1" showAutoFilter="1">
      <pageMargins left="0.511811024" right="0.511811024" top="0.78740157499999996" bottom="0.78740157499999996" header="0.31496062000000002" footer="0.31496062000000002"/>
      <autoFilter ref="C7:R372">
        <filterColumn colId="7">
          <filters>
            <filter val="0.00"/>
            <filter val="1,062.00"/>
            <filter val="1,170.00"/>
            <filter val="1,296.00"/>
            <filter val="1,404.00"/>
            <filter val="1,440.00"/>
            <filter val="1,458.00"/>
            <filter val="1,620.00"/>
            <filter val="1,638.00"/>
            <filter val="1,710.00"/>
            <filter val="1,782.00"/>
            <filter val="1,800.00"/>
            <filter val="1,818.00"/>
            <filter val="1,944.00"/>
            <filter val="19,602.00"/>
            <filter val="2,034.00"/>
            <filter val="2,160.00"/>
            <filter val="2,214.00"/>
            <filter val="2,286.00"/>
            <filter val="2,502.00"/>
            <filter val="2,628.00"/>
            <filter val="2,646.00"/>
            <filter val="2,934.00"/>
            <filter val="3,006.00"/>
            <filter val="3,240.00"/>
            <filter val="3,420.00"/>
            <filter val="3,600.00"/>
            <filter val="4,230.00"/>
            <filter val="4,338.00"/>
            <filter val="4,356.00"/>
            <filter val="5,022.00"/>
            <filter val="5,562.00"/>
            <filter val="5,940.00"/>
            <filter val="6,084.00"/>
            <filter val="6,282.00"/>
          </filters>
        </filterColumn>
      </autoFilter>
    </customSheetView>
  </customSheetViews>
  <mergeCells count="2">
    <mergeCell ref="P6:Q6"/>
    <mergeCell ref="A5:R5"/>
  </mergeCells>
  <conditionalFormatting sqref="D9:D43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REP_EST_PALMAS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2019-05-06T13:05:06Z</dcterms:modified>
</cp:coreProperties>
</file>